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'лист'!$A$5:$F$40</definedName>
    <definedName name="_xlnm.Print_Area" localSheetId="0">'лист'!$B$1:$N$40</definedName>
  </definedNames>
  <calcPr fullCalcOnLoad="1"/>
</workbook>
</file>

<file path=xl/sharedStrings.xml><?xml version="1.0" encoding="utf-8"?>
<sst xmlns="http://schemas.openxmlformats.org/spreadsheetml/2006/main" count="100" uniqueCount="63">
  <si>
    <t>Приложение №3</t>
  </si>
  <si>
    <t>к решению Совета народных депутатов муниципального образования Андреевское сельское поселение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</si>
  <si>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на 2021 год и на плановый период 2022 и 2023 годов</t>
  </si>
  <si>
    <t>(тыс.руб.)</t>
  </si>
  <si>
    <t>Наименование расходов</t>
  </si>
  <si>
    <t>Код раздела</t>
  </si>
  <si>
    <t>Код подраздела</t>
  </si>
  <si>
    <t>План 
На 2021 год</t>
  </si>
  <si>
    <t>Утв.План 
На 2021 год</t>
  </si>
  <si>
    <t>март</t>
  </si>
  <si>
    <t>июнь</t>
  </si>
  <si>
    <t>октябрь</t>
  </si>
  <si>
    <t>ноябрь</t>
  </si>
  <si>
    <t>декабрь</t>
  </si>
  <si>
    <t>План 
На 2022 год</t>
  </si>
  <si>
    <t>План 
На 2023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</si>
  <si>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</si>
  <si>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</si>
  <si>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</si>
  <si>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</si>
  <si>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</si>
  <si>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</si>
  <si>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</si>
  <si>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</si>
  <si>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</si>
  <si>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</si>
  <si>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</si>
  <si>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</si>
  <si>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</si>
  <si>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</si>
  <si>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</si>
  <si>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</si>
  <si>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Гражданская оборона </t>
  </si>
  <si>
    <t>09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</si>
  <si>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</si>
  <si>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</si>
  <si>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</si>
  <si>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</si>
  <si>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</si>
  <si>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</si>
  <si>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</si>
  <si>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</si>
  <si>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</si>
  <si>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</si>
  <si>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</si>
  <si>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</si>
  <si>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</si>
  <si>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</si>
  <si>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</si>
  <si>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 xml:space="preserve">Молодежная политика 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</si>
  <si>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</si>
  <si>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</si>
  <si>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</si>
  <si>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</si>
  <si>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</si>
  <si>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</si>
  <si>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</si>
  <si>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</si>
  <si>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</si>
  <si>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</si>
  <si>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>фпс</t>
  </si>
  <si>
    <t>б/о</t>
  </si>
  <si>
    <t>от 24.12.2021 № 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</si>
</sst>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  <numFmt numFmtId="166" formatCode="0.00000"/>
    <numFmt numFmtId="167" formatCode="0.0"/>
    <numFmt numFmtId="168" formatCode="#,##0.0"/>
    <numFmt numFmtId="169" formatCode="#,##0.00000"/>
    <numFmt numFmtId="170" formatCode="0.0000"/>
    <numFmt numFmtId="171" formatCode="#,##0.0000"/>
    <numFmt numFmtId="172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3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4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7" fontId="14" fillId="0" borderId="11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7" fontId="1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6" fillId="33" borderId="11" xfId="0" applyNumberFormat="1" applyFont="1" applyFill="1" applyBorder="1" applyAlignment="1">
      <alignment horizontal="center" vertical="center" wrapText="1"/>
    </xf>
    <xf numFmtId="169" fontId="6" fillId="34" borderId="11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167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166" fontId="6" fillId="34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left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167" fontId="13" fillId="0" borderId="11" xfId="0" applyNumberFormat="1" applyFont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168" fontId="12" fillId="33" borderId="11" xfId="0" applyNumberFormat="1" applyFont="1" applyFill="1" applyBorder="1" applyAlignment="1">
      <alignment horizontal="center" vertical="center" wrapText="1"/>
    </xf>
    <xf numFmtId="168" fontId="12" fillId="34" borderId="11" xfId="0" applyNumberFormat="1" applyFont="1" applyFill="1" applyBorder="1" applyAlignment="1">
      <alignment horizontal="center" vertical="center" wrapText="1"/>
    </xf>
    <xf numFmtId="168" fontId="13" fillId="0" borderId="11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167" fontId="18" fillId="33" borderId="11" xfId="0" applyNumberFormat="1" applyFont="1" applyFill="1" applyBorder="1" applyAlignment="1">
      <alignment horizontal="center" vertical="center" wrapText="1"/>
    </xf>
    <xf numFmtId="167" fontId="18" fillId="34" borderId="11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70" fontId="14" fillId="33" borderId="11" xfId="0" applyNumberFormat="1" applyFont="1" applyFill="1" applyBorder="1" applyAlignment="1">
      <alignment horizontal="center" vertical="center" wrapText="1"/>
    </xf>
    <xf numFmtId="170" fontId="14" fillId="34" borderId="11" xfId="0" applyNumberFormat="1" applyFont="1" applyFill="1" applyBorder="1" applyAlignment="1">
      <alignment horizontal="center" vertical="center" wrapText="1"/>
    </xf>
    <xf numFmtId="170" fontId="14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66" fontId="4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1" fontId="14" fillId="0" borderId="11" xfId="0" applyNumberFormat="1" applyFont="1" applyFill="1" applyBorder="1" applyAlignment="1">
      <alignment horizontal="center" vertical="center" wrapText="1"/>
    </xf>
    <xf numFmtId="171" fontId="14" fillId="33" borderId="11" xfId="0" applyNumberFormat="1" applyFont="1" applyFill="1" applyBorder="1" applyAlignment="1">
      <alignment horizontal="center" vertical="center" wrapText="1"/>
    </xf>
    <xf numFmtId="171" fontId="14" fillId="34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170" fontId="6" fillId="33" borderId="11" xfId="0" applyNumberFormat="1" applyFont="1" applyFill="1" applyBorder="1" applyAlignment="1">
      <alignment horizontal="center" vertical="center" wrapText="1"/>
    </xf>
    <xf numFmtId="170" fontId="6" fillId="34" borderId="11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13" fillId="35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69" fontId="14" fillId="0" borderId="11" xfId="0" applyNumberFormat="1" applyFont="1" applyFill="1" applyBorder="1" applyAlignment="1">
      <alignment horizontal="center" vertical="center" wrapText="1"/>
    </xf>
    <xf numFmtId="169" fontId="14" fillId="33" borderId="11" xfId="0" applyNumberFormat="1" applyFont="1" applyFill="1" applyBorder="1" applyAlignment="1">
      <alignment horizontal="center" vertical="center" wrapText="1"/>
    </xf>
    <xf numFmtId="169" fontId="14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164" fontId="13" fillId="35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164" fontId="4" fillId="35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6" fontId="13" fillId="33" borderId="11" xfId="0" applyNumberFormat="1" applyFont="1" applyFill="1" applyBorder="1" applyAlignment="1">
      <alignment horizontal="center" vertical="center" wrapText="1"/>
    </xf>
    <xf numFmtId="166" fontId="13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tabSelected="1" zoomScalePageLayoutView="0" workbookViewId="0" topLeftCell="A1">
      <selection activeCell="E3" sqref="E3:N3"/>
    </sheetView>
  </sheetViews>
  <sheetFormatPr defaultColWidth="9.00390625" defaultRowHeight="12.75"/>
  <cols>
    <col min="1" max="1" width="3.28125" style="1" customWidth="1"/>
    <col min="2" max="2" width="49.57421875" style="1" customWidth="1"/>
    <col min="3" max="3" width="7.7109375" style="2" customWidth="1"/>
    <col min="4" max="4" width="6.7109375" style="2" customWidth="1"/>
    <col min="5" max="5" width="13.140625" style="3" bestFit="1" customWidth="1"/>
    <col min="6" max="6" width="9.00390625" style="4" hidden="1" customWidth="1"/>
    <col min="7" max="7" width="12.421875" style="5" hidden="1" customWidth="1"/>
    <col min="8" max="9" width="11.8515625" style="4" hidden="1" customWidth="1"/>
    <col min="10" max="10" width="10.7109375" style="6" hidden="1" customWidth="1"/>
    <col min="11" max="11" width="11.421875" style="4" hidden="1" customWidth="1"/>
    <col min="12" max="12" width="8.421875" style="4" hidden="1" customWidth="1"/>
    <col min="13" max="13" width="10.7109375" style="1" bestFit="1" customWidth="1"/>
    <col min="14" max="14" width="13.00390625" style="1" customWidth="1"/>
    <col min="15" max="18" width="13.28125" style="7" customWidth="1"/>
    <col min="19" max="16384" width="9.00390625" style="1" customWidth="1"/>
  </cols>
  <sheetData>
    <row r="1" spans="3:18" s="8" customFormat="1" ht="15">
      <c r="C1" s="9"/>
      <c r="D1" s="9"/>
      <c r="E1" s="10"/>
      <c r="F1" s="11"/>
      <c r="G1" s="12"/>
      <c r="H1" s="13"/>
      <c r="I1" s="12"/>
      <c r="J1" s="14"/>
      <c r="K1" s="12"/>
      <c r="L1" s="12"/>
      <c r="M1" s="173" t="s">
        <v>0</v>
      </c>
      <c r="N1" s="173"/>
      <c r="O1" s="15"/>
      <c r="P1" s="15"/>
      <c r="Q1" s="15"/>
      <c r="R1" s="15"/>
    </row>
    <row r="2" spans="3:18" s="8" customFormat="1" ht="57.75" customHeight="1">
      <c r="C2" s="9"/>
      <c r="D2" s="9"/>
      <c r="E2" s="174" t="s">
        <v>1</v>
      </c>
      <c r="F2" s="174"/>
      <c r="G2" s="174"/>
      <c r="H2" s="174"/>
      <c r="I2" s="174"/>
      <c r="J2" s="174"/>
      <c r="K2" s="174"/>
      <c r="L2" s="174"/>
      <c r="M2" s="174"/>
      <c r="N2" s="174"/>
      <c r="O2" s="15"/>
      <c r="P2" s="15"/>
      <c r="Q2" s="15"/>
      <c r="R2" s="15"/>
    </row>
    <row r="3" spans="3:18" s="8" customFormat="1" ht="15">
      <c r="C3" s="9"/>
      <c r="D3" s="9"/>
      <c r="E3" s="175" t="s">
        <v>62</v>
      </c>
      <c r="F3" s="175"/>
      <c r="G3" s="175"/>
      <c r="H3" s="175"/>
      <c r="I3" s="175"/>
      <c r="J3" s="175"/>
      <c r="K3" s="175"/>
      <c r="L3" s="175"/>
      <c r="M3" s="175"/>
      <c r="N3" s="175"/>
      <c r="O3" s="15"/>
      <c r="P3" s="15"/>
      <c r="Q3" s="15"/>
      <c r="R3" s="15"/>
    </row>
    <row r="4" spans="3:18" s="8" customFormat="1" ht="15">
      <c r="C4" s="9"/>
      <c r="D4" s="9"/>
      <c r="E4" s="10"/>
      <c r="F4" s="11"/>
      <c r="G4" s="12"/>
      <c r="H4" s="13"/>
      <c r="I4" s="12"/>
      <c r="J4" s="14"/>
      <c r="K4" s="12"/>
      <c r="L4" s="12"/>
      <c r="M4" s="11"/>
      <c r="N4" s="11"/>
      <c r="O4" s="15"/>
      <c r="P4" s="15"/>
      <c r="Q4" s="15"/>
      <c r="R4" s="15"/>
    </row>
    <row r="5" spans="3:18" s="8" customFormat="1" ht="13.5">
      <c r="C5" s="16"/>
      <c r="D5" s="16"/>
      <c r="E5" s="17"/>
      <c r="F5" s="18"/>
      <c r="G5" s="19"/>
      <c r="H5" s="18"/>
      <c r="I5" s="18"/>
      <c r="J5" s="20"/>
      <c r="K5" s="18"/>
      <c r="L5" s="18"/>
      <c r="O5" s="15"/>
      <c r="P5" s="15"/>
      <c r="Q5" s="15"/>
      <c r="R5" s="15"/>
    </row>
    <row r="6" spans="2:16" ht="46.5" customHeight="1">
      <c r="B6" s="172" t="s">
        <v>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21"/>
      <c r="P6" s="21"/>
    </row>
    <row r="7" ht="23.25" customHeight="1">
      <c r="N7" s="4" t="s">
        <v>3</v>
      </c>
    </row>
    <row r="8" spans="2:18" s="22" customFormat="1" ht="52.5">
      <c r="B8" s="23" t="s">
        <v>4</v>
      </c>
      <c r="C8" s="23" t="s">
        <v>5</v>
      </c>
      <c r="D8" s="23" t="s">
        <v>6</v>
      </c>
      <c r="E8" s="24" t="s">
        <v>7</v>
      </c>
      <c r="F8" s="25" t="s">
        <v>8</v>
      </c>
      <c r="G8" s="26" t="s">
        <v>9</v>
      </c>
      <c r="H8" s="27" t="s">
        <v>10</v>
      </c>
      <c r="I8" s="26" t="s">
        <v>11</v>
      </c>
      <c r="J8" s="28" t="s">
        <v>12</v>
      </c>
      <c r="K8" s="29" t="s">
        <v>13</v>
      </c>
      <c r="L8" s="27"/>
      <c r="M8" s="27" t="s">
        <v>14</v>
      </c>
      <c r="N8" s="27" t="s">
        <v>15</v>
      </c>
      <c r="O8" s="30"/>
      <c r="P8" s="30"/>
      <c r="Q8" s="30"/>
      <c r="R8" s="30"/>
    </row>
    <row r="9" spans="2:18" s="31" customFormat="1" ht="12.75">
      <c r="B9" s="32">
        <v>1</v>
      </c>
      <c r="C9" s="33">
        <v>2</v>
      </c>
      <c r="D9" s="33">
        <v>3</v>
      </c>
      <c r="E9" s="34"/>
      <c r="F9" s="35">
        <v>4</v>
      </c>
      <c r="G9" s="35"/>
      <c r="H9" s="36"/>
      <c r="I9" s="37"/>
      <c r="J9" s="38"/>
      <c r="K9" s="39"/>
      <c r="L9" s="37"/>
      <c r="M9" s="33">
        <v>5</v>
      </c>
      <c r="N9" s="33">
        <v>6</v>
      </c>
      <c r="O9" s="40"/>
      <c r="P9" s="40"/>
      <c r="Q9" s="40"/>
      <c r="R9" s="40"/>
    </row>
    <row r="10" spans="2:18" s="41" customFormat="1" ht="13.5">
      <c r="B10" s="42" t="s">
        <v>16</v>
      </c>
      <c r="C10" s="43" t="s">
        <v>17</v>
      </c>
      <c r="D10" s="43"/>
      <c r="E10" s="44">
        <f>F10+G10+H10+I10+J10+L10+K10</f>
        <v>18212.05581</v>
      </c>
      <c r="F10" s="45">
        <f aca="true" t="shared" si="0" ref="F10:N10">SUM(F11:F15)</f>
        <v>15299</v>
      </c>
      <c r="G10" s="46">
        <f t="shared" si="0"/>
        <v>2002.63834</v>
      </c>
      <c r="H10" s="47">
        <f t="shared" si="0"/>
        <v>414.14839</v>
      </c>
      <c r="I10" s="47">
        <f t="shared" si="0"/>
        <v>697.591</v>
      </c>
      <c r="J10" s="48">
        <f t="shared" si="0"/>
        <v>129.44325</v>
      </c>
      <c r="K10" s="49">
        <f t="shared" si="0"/>
        <v>-330.76517</v>
      </c>
      <c r="L10" s="47">
        <f t="shared" si="0"/>
        <v>0</v>
      </c>
      <c r="M10" s="50">
        <f t="shared" si="0"/>
        <v>15030.3</v>
      </c>
      <c r="N10" s="50">
        <f t="shared" si="0"/>
        <v>15087</v>
      </c>
      <c r="O10" s="51"/>
      <c r="P10" s="51"/>
      <c r="Q10" s="52"/>
      <c r="R10" s="51"/>
    </row>
    <row r="11" spans="2:18" s="53" customFormat="1" ht="54.75">
      <c r="B11" s="54" t="s">
        <v>18</v>
      </c>
      <c r="C11" s="55" t="s">
        <v>17</v>
      </c>
      <c r="D11" s="55" t="s">
        <v>19</v>
      </c>
      <c r="E11" s="56">
        <f>SUM(F11:L11)</f>
        <v>3.1500000000000004</v>
      </c>
      <c r="F11" s="57">
        <v>12.1</v>
      </c>
      <c r="G11" s="57"/>
      <c r="H11" s="58"/>
      <c r="I11" s="57">
        <v>-8.95</v>
      </c>
      <c r="J11" s="59"/>
      <c r="K11" s="60"/>
      <c r="L11" s="57"/>
      <c r="M11" s="61">
        <v>12.1</v>
      </c>
      <c r="N11" s="61">
        <v>12.1</v>
      </c>
      <c r="O11" s="62"/>
      <c r="P11" s="51"/>
      <c r="Q11" s="52"/>
      <c r="R11" s="62"/>
    </row>
    <row r="12" spans="2:18" s="63" customFormat="1" ht="54.75">
      <c r="B12" s="54" t="s">
        <v>20</v>
      </c>
      <c r="C12" s="64" t="s">
        <v>17</v>
      </c>
      <c r="D12" s="64" t="s">
        <v>21</v>
      </c>
      <c r="E12" s="65">
        <f>SUM(F12:L12)</f>
        <v>3503.7444800000003</v>
      </c>
      <c r="F12" s="66">
        <v>3435.8</v>
      </c>
      <c r="G12" s="66"/>
      <c r="H12" s="58"/>
      <c r="I12" s="66">
        <v>66.4</v>
      </c>
      <c r="J12" s="67">
        <f>3.04996-1.50548</f>
        <v>1.54448</v>
      </c>
      <c r="K12" s="68"/>
      <c r="L12" s="69"/>
      <c r="M12" s="61">
        <v>3440.3</v>
      </c>
      <c r="N12" s="70">
        <v>3445</v>
      </c>
      <c r="O12" s="71"/>
      <c r="P12" s="51"/>
      <c r="Q12" s="52"/>
      <c r="R12" s="71"/>
    </row>
    <row r="13" spans="2:18" s="63" customFormat="1" ht="13.5">
      <c r="B13" s="72" t="s">
        <v>22</v>
      </c>
      <c r="C13" s="64" t="s">
        <v>17</v>
      </c>
      <c r="D13" s="64" t="s">
        <v>23</v>
      </c>
      <c r="E13" s="56">
        <f>SUM(F13:L13)</f>
        <v>207.44</v>
      </c>
      <c r="F13" s="73">
        <v>0</v>
      </c>
      <c r="G13" s="73"/>
      <c r="H13" s="58"/>
      <c r="I13" s="74">
        <v>207.44</v>
      </c>
      <c r="J13" s="75"/>
      <c r="K13" s="76"/>
      <c r="L13" s="74"/>
      <c r="M13" s="70">
        <v>0</v>
      </c>
      <c r="N13" s="70">
        <v>0</v>
      </c>
      <c r="O13" s="71"/>
      <c r="P13" s="51"/>
      <c r="Q13" s="52"/>
      <c r="R13" s="71"/>
    </row>
    <row r="14" spans="2:18" s="77" customFormat="1" ht="13.5">
      <c r="B14" s="54" t="s">
        <v>24</v>
      </c>
      <c r="C14" s="64" t="s">
        <v>17</v>
      </c>
      <c r="D14" s="64" t="s">
        <v>25</v>
      </c>
      <c r="E14" s="56">
        <f>SUM(F14:L14)</f>
        <v>0</v>
      </c>
      <c r="F14" s="57">
        <v>68.6</v>
      </c>
      <c r="G14" s="57"/>
      <c r="H14" s="58"/>
      <c r="I14" s="78"/>
      <c r="J14" s="79"/>
      <c r="K14" s="80">
        <v>-68.6</v>
      </c>
      <c r="L14" s="78"/>
      <c r="M14" s="58">
        <v>68.6</v>
      </c>
      <c r="N14" s="58">
        <v>68.6</v>
      </c>
      <c r="O14" s="71"/>
      <c r="P14" s="51"/>
      <c r="Q14" s="52"/>
      <c r="R14" s="71"/>
    </row>
    <row r="15" spans="2:18" s="81" customFormat="1" ht="13.5">
      <c r="B15" s="82" t="s">
        <v>26</v>
      </c>
      <c r="C15" s="83" t="s">
        <v>17</v>
      </c>
      <c r="D15" s="83" t="s">
        <v>27</v>
      </c>
      <c r="E15" s="65">
        <f>SUM(F15:L15)</f>
        <v>14497.72133</v>
      </c>
      <c r="F15" s="73">
        <f>11501+281.5</f>
        <v>11782.5</v>
      </c>
      <c r="G15" s="73">
        <f>150+40+942.63834+870</f>
        <v>2002.63834</v>
      </c>
      <c r="H15" s="58">
        <v>414.14839</v>
      </c>
      <c r="I15" s="73">
        <v>432.701</v>
      </c>
      <c r="J15" s="84">
        <f>-52.58139+180.48016</f>
        <v>127.89877000000001</v>
      </c>
      <c r="K15" s="85">
        <f>-199.9-62.26517</f>
        <v>-262.16517</v>
      </c>
      <c r="L15" s="86"/>
      <c r="M15" s="70">
        <v>11509.3</v>
      </c>
      <c r="N15" s="70">
        <v>11561.3</v>
      </c>
      <c r="O15" s="71"/>
      <c r="P15" s="51"/>
      <c r="Q15" s="52"/>
      <c r="R15" s="71"/>
    </row>
    <row r="16" spans="2:18" s="41" customFormat="1" ht="13.5">
      <c r="B16" s="87" t="s">
        <v>28</v>
      </c>
      <c r="C16" s="88" t="s">
        <v>29</v>
      </c>
      <c r="D16" s="88"/>
      <c r="E16" s="89">
        <f>F16+G16+H16+I16+J16+L16</f>
        <v>236.4</v>
      </c>
      <c r="F16" s="90">
        <f>F17</f>
        <v>236.4</v>
      </c>
      <c r="G16" s="90">
        <f>G17</f>
        <v>0</v>
      </c>
      <c r="H16" s="47">
        <f>H17</f>
        <v>0</v>
      </c>
      <c r="I16" s="91"/>
      <c r="J16" s="92"/>
      <c r="K16" s="93"/>
      <c r="L16" s="91"/>
      <c r="M16" s="94">
        <f>M17</f>
        <v>238.7</v>
      </c>
      <c r="N16" s="94">
        <f>N17</f>
        <v>247.5</v>
      </c>
      <c r="O16" s="51"/>
      <c r="P16" s="51"/>
      <c r="Q16" s="52"/>
      <c r="R16" s="51"/>
    </row>
    <row r="17" spans="2:18" s="63" customFormat="1" ht="13.5">
      <c r="B17" s="82" t="s">
        <v>30</v>
      </c>
      <c r="C17" s="83" t="s">
        <v>29</v>
      </c>
      <c r="D17" s="83" t="s">
        <v>19</v>
      </c>
      <c r="E17" s="70">
        <f>SUM(F17:L17)</f>
        <v>236.4</v>
      </c>
      <c r="F17" s="57">
        <v>236.4</v>
      </c>
      <c r="G17" s="57">
        <v>0</v>
      </c>
      <c r="H17" s="58"/>
      <c r="I17" s="78"/>
      <c r="J17" s="79"/>
      <c r="K17" s="95"/>
      <c r="L17" s="78"/>
      <c r="M17" s="61">
        <v>238.7</v>
      </c>
      <c r="N17" s="61">
        <v>247.5</v>
      </c>
      <c r="O17" s="71"/>
      <c r="P17" s="51"/>
      <c r="Q17" s="52"/>
      <c r="R17" s="71"/>
    </row>
    <row r="18" spans="2:18" s="41" customFormat="1" ht="27">
      <c r="B18" s="96" t="s">
        <v>31</v>
      </c>
      <c r="C18" s="97" t="s">
        <v>19</v>
      </c>
      <c r="D18" s="97"/>
      <c r="E18" s="44">
        <f>F18+G18+H18+I18+J18+L18</f>
        <v>495.08673000000005</v>
      </c>
      <c r="F18" s="90">
        <f aca="true" t="shared" si="1" ref="F18:N18">SUM(F19:F20)</f>
        <v>504.1</v>
      </c>
      <c r="G18" s="90">
        <f t="shared" si="1"/>
        <v>0</v>
      </c>
      <c r="H18" s="47">
        <f t="shared" si="1"/>
        <v>0</v>
      </c>
      <c r="I18" s="47">
        <f t="shared" si="1"/>
        <v>-9.01327</v>
      </c>
      <c r="J18" s="48">
        <f t="shared" si="1"/>
        <v>0</v>
      </c>
      <c r="K18" s="49">
        <f t="shared" si="1"/>
        <v>0</v>
      </c>
      <c r="L18" s="47">
        <f t="shared" si="1"/>
        <v>0</v>
      </c>
      <c r="M18" s="94">
        <f t="shared" si="1"/>
        <v>200</v>
      </c>
      <c r="N18" s="94">
        <f t="shared" si="1"/>
        <v>200</v>
      </c>
      <c r="O18" s="51"/>
      <c r="P18" s="51"/>
      <c r="Q18" s="52"/>
      <c r="R18" s="51"/>
    </row>
    <row r="19" spans="2:18" s="63" customFormat="1" ht="13.5" hidden="1">
      <c r="B19" s="54" t="s">
        <v>32</v>
      </c>
      <c r="C19" s="64" t="s">
        <v>19</v>
      </c>
      <c r="D19" s="64" t="s">
        <v>33</v>
      </c>
      <c r="E19" s="98"/>
      <c r="F19" s="73">
        <v>0</v>
      </c>
      <c r="G19" s="73"/>
      <c r="H19" s="58"/>
      <c r="I19" s="99"/>
      <c r="J19" s="100"/>
      <c r="K19" s="101"/>
      <c r="L19" s="99"/>
      <c r="M19" s="102">
        <v>0</v>
      </c>
      <c r="N19" s="102">
        <v>0</v>
      </c>
      <c r="O19" s="71"/>
      <c r="P19" s="51"/>
      <c r="Q19" s="52"/>
      <c r="R19" s="71"/>
    </row>
    <row r="20" spans="2:18" s="63" customFormat="1" ht="41.25">
      <c r="B20" s="54" t="s">
        <v>34</v>
      </c>
      <c r="C20" s="64" t="s">
        <v>19</v>
      </c>
      <c r="D20" s="64" t="s">
        <v>35</v>
      </c>
      <c r="E20" s="65">
        <f>SUM(F20:L20)</f>
        <v>495.08673000000005</v>
      </c>
      <c r="F20" s="73">
        <v>504.1</v>
      </c>
      <c r="G20" s="73"/>
      <c r="H20" s="58"/>
      <c r="I20" s="86">
        <v>-9.01327</v>
      </c>
      <c r="J20" s="84"/>
      <c r="K20" s="85"/>
      <c r="L20" s="86"/>
      <c r="M20" s="102">
        <v>200</v>
      </c>
      <c r="N20" s="102">
        <v>200</v>
      </c>
      <c r="O20" s="71"/>
      <c r="P20" s="51"/>
      <c r="Q20" s="52"/>
      <c r="R20" s="71"/>
    </row>
    <row r="21" spans="2:18" s="63" customFormat="1" ht="13.5">
      <c r="B21" s="103" t="s">
        <v>36</v>
      </c>
      <c r="C21" s="104" t="s">
        <v>21</v>
      </c>
      <c r="D21" s="104"/>
      <c r="E21" s="89">
        <f>F21+G21+H21+I21+J21+L21</f>
        <v>10</v>
      </c>
      <c r="F21" s="90">
        <f aca="true" t="shared" si="2" ref="F21:N21">F22+F23</f>
        <v>281.1</v>
      </c>
      <c r="G21" s="90">
        <f t="shared" si="2"/>
        <v>0</v>
      </c>
      <c r="H21" s="105">
        <f t="shared" si="2"/>
        <v>1510</v>
      </c>
      <c r="I21" s="105">
        <f t="shared" si="2"/>
        <v>-1781.1</v>
      </c>
      <c r="J21" s="106">
        <f t="shared" si="2"/>
        <v>0</v>
      </c>
      <c r="K21" s="107">
        <f t="shared" si="2"/>
        <v>0</v>
      </c>
      <c r="L21" s="105">
        <f t="shared" si="2"/>
        <v>0</v>
      </c>
      <c r="M21" s="90">
        <f t="shared" si="2"/>
        <v>295.6</v>
      </c>
      <c r="N21" s="90">
        <f t="shared" si="2"/>
        <v>295.6</v>
      </c>
      <c r="O21" s="71"/>
      <c r="P21" s="71"/>
      <c r="Q21" s="71"/>
      <c r="R21" s="71"/>
    </row>
    <row r="22" spans="2:18" s="63" customFormat="1" ht="13.5">
      <c r="B22" s="108" t="s">
        <v>37</v>
      </c>
      <c r="C22" s="109" t="s">
        <v>21</v>
      </c>
      <c r="D22" s="109" t="s">
        <v>17</v>
      </c>
      <c r="E22" s="70">
        <f>SUM(F22:L22)</f>
        <v>0</v>
      </c>
      <c r="F22" s="57">
        <v>281.1</v>
      </c>
      <c r="G22" s="57"/>
      <c r="H22" s="58">
        <v>1500</v>
      </c>
      <c r="I22" s="57">
        <v>-1781.1</v>
      </c>
      <c r="J22" s="59"/>
      <c r="K22" s="60"/>
      <c r="L22" s="57"/>
      <c r="M22" s="57">
        <v>295.6</v>
      </c>
      <c r="N22" s="57">
        <v>295.6</v>
      </c>
      <c r="O22" s="71"/>
      <c r="P22" s="71"/>
      <c r="Q22" s="71"/>
      <c r="R22" s="71"/>
    </row>
    <row r="23" spans="2:18" s="63" customFormat="1" ht="13.5">
      <c r="B23" s="110" t="s">
        <v>38</v>
      </c>
      <c r="C23" s="109" t="s">
        <v>21</v>
      </c>
      <c r="D23" s="109" t="s">
        <v>39</v>
      </c>
      <c r="E23" s="70">
        <f>SUM(F23:L23)</f>
        <v>10</v>
      </c>
      <c r="F23" s="57">
        <v>0</v>
      </c>
      <c r="G23" s="57"/>
      <c r="H23" s="58">
        <v>10</v>
      </c>
      <c r="I23" s="78"/>
      <c r="J23" s="79"/>
      <c r="K23" s="95"/>
      <c r="L23" s="78"/>
      <c r="M23" s="73">
        <v>0</v>
      </c>
      <c r="N23" s="73">
        <v>0</v>
      </c>
      <c r="O23" s="71"/>
      <c r="P23" s="71"/>
      <c r="Q23" s="71"/>
      <c r="R23" s="71"/>
    </row>
    <row r="24" spans="2:18" s="111" customFormat="1" ht="13.5">
      <c r="B24" s="112" t="s">
        <v>40</v>
      </c>
      <c r="C24" s="113" t="s">
        <v>41</v>
      </c>
      <c r="D24" s="113"/>
      <c r="E24" s="44">
        <f>F24+G24+H24+I24+J24+L24+K24</f>
        <v>14592.57952</v>
      </c>
      <c r="F24" s="105">
        <f>SUM(F25:F27)</f>
        <v>4274.74</v>
      </c>
      <c r="G24" s="105">
        <f>SUM(G25:G27)</f>
        <v>989.8253000000001</v>
      </c>
      <c r="H24" s="47">
        <f>H25+H27</f>
        <v>899.635</v>
      </c>
      <c r="I24" s="114">
        <f>I27+I25</f>
        <v>7742.25681</v>
      </c>
      <c r="J24" s="115">
        <f>J27+J25+J26</f>
        <v>395.8515</v>
      </c>
      <c r="K24" s="116">
        <f>K27+K25+K26</f>
        <v>290.27091</v>
      </c>
      <c r="L24" s="117">
        <f>L27+L25+L26</f>
        <v>0</v>
      </c>
      <c r="M24" s="105">
        <f>SUM(M25:M27)</f>
        <v>3893.94</v>
      </c>
      <c r="N24" s="105">
        <f>SUM(N25:N27)</f>
        <v>4230.9400000000005</v>
      </c>
      <c r="O24" s="118"/>
      <c r="P24" s="51"/>
      <c r="Q24" s="52"/>
      <c r="R24" s="118"/>
    </row>
    <row r="25" spans="2:18" s="119" customFormat="1" ht="13.5">
      <c r="B25" s="110" t="s">
        <v>42</v>
      </c>
      <c r="C25" s="120" t="s">
        <v>41</v>
      </c>
      <c r="D25" s="120" t="s">
        <v>17</v>
      </c>
      <c r="E25" s="121">
        <f>SUM(F25:L25)</f>
        <v>280.6985</v>
      </c>
      <c r="F25" s="73">
        <v>157.5</v>
      </c>
      <c r="G25" s="122">
        <v>115.3223</v>
      </c>
      <c r="H25" s="58"/>
      <c r="I25" s="98">
        <v>12.55981</v>
      </c>
      <c r="J25" s="123"/>
      <c r="K25" s="124">
        <v>-4.68361</v>
      </c>
      <c r="L25" s="98"/>
      <c r="M25" s="73">
        <v>157.5</v>
      </c>
      <c r="N25" s="73">
        <v>157.5</v>
      </c>
      <c r="O25" s="125"/>
      <c r="P25" s="51"/>
      <c r="Q25" s="52"/>
      <c r="R25" s="125"/>
    </row>
    <row r="26" spans="2:18" s="119" customFormat="1" ht="13.5">
      <c r="B26" s="110" t="s">
        <v>43</v>
      </c>
      <c r="C26" s="120" t="s">
        <v>41</v>
      </c>
      <c r="D26" s="120" t="s">
        <v>29</v>
      </c>
      <c r="E26" s="56">
        <f>SUM(F26:L26)</f>
        <v>197.49</v>
      </c>
      <c r="F26" s="73"/>
      <c r="G26" s="122"/>
      <c r="H26" s="58"/>
      <c r="I26" s="98"/>
      <c r="J26" s="126">
        <v>197.49</v>
      </c>
      <c r="K26" s="127"/>
      <c r="L26" s="128"/>
      <c r="M26" s="73"/>
      <c r="N26" s="73"/>
      <c r="O26" s="125"/>
      <c r="P26" s="51"/>
      <c r="Q26" s="52"/>
      <c r="R26" s="125"/>
    </row>
    <row r="27" spans="2:18" s="119" customFormat="1" ht="13.5">
      <c r="B27" s="110" t="s">
        <v>44</v>
      </c>
      <c r="C27" s="120" t="s">
        <v>41</v>
      </c>
      <c r="D27" s="120" t="s">
        <v>19</v>
      </c>
      <c r="E27" s="65">
        <f>SUM(F27:L27)</f>
        <v>14114.39102</v>
      </c>
      <c r="F27" s="57">
        <v>4117.24</v>
      </c>
      <c r="G27" s="129">
        <v>874.503</v>
      </c>
      <c r="H27" s="58">
        <f>699.635+200</f>
        <v>899.635</v>
      </c>
      <c r="I27" s="57">
        <v>7729.697</v>
      </c>
      <c r="J27" s="59">
        <f>419.3975-221.036</f>
        <v>198.36149999999998</v>
      </c>
      <c r="K27" s="60">
        <f>155.5+(-0.00248)+66.957+18.5+54</f>
        <v>294.95452</v>
      </c>
      <c r="L27" s="57"/>
      <c r="M27" s="130">
        <v>3736.44</v>
      </c>
      <c r="N27" s="130">
        <v>4073.44</v>
      </c>
      <c r="O27" s="125"/>
      <c r="P27" s="51"/>
      <c r="Q27" s="52"/>
      <c r="R27" s="125"/>
    </row>
    <row r="28" spans="2:18" s="111" customFormat="1" ht="13.5">
      <c r="B28" s="112" t="s">
        <v>45</v>
      </c>
      <c r="C28" s="113" t="s">
        <v>46</v>
      </c>
      <c r="D28" s="113"/>
      <c r="E28" s="89">
        <f>F28+G28+H28+I28+J28+L28</f>
        <v>-3.552713678800501E-15</v>
      </c>
      <c r="F28" s="90">
        <f>SUM(F29:F29)</f>
        <v>106.8</v>
      </c>
      <c r="G28" s="90">
        <f>SUM(G29:G29)</f>
        <v>0</v>
      </c>
      <c r="H28" s="47">
        <f>SUM(H29:H29)</f>
        <v>0</v>
      </c>
      <c r="I28" s="131">
        <f>I29</f>
        <v>-92.5625</v>
      </c>
      <c r="J28" s="132">
        <f>J29</f>
        <v>-14.2375</v>
      </c>
      <c r="K28" s="133">
        <f>K29</f>
        <v>0</v>
      </c>
      <c r="L28" s="131">
        <f>L29</f>
        <v>0</v>
      </c>
      <c r="M28" s="90">
        <f>SUM(M29:M29)</f>
        <v>200</v>
      </c>
      <c r="N28" s="90">
        <f>SUM(N29:N29)</f>
        <v>200</v>
      </c>
      <c r="O28" s="118"/>
      <c r="P28" s="51"/>
      <c r="Q28" s="52"/>
      <c r="R28" s="118"/>
    </row>
    <row r="29" spans="2:18" s="81" customFormat="1" ht="28.5" customHeight="1">
      <c r="B29" s="134" t="s">
        <v>47</v>
      </c>
      <c r="C29" s="135" t="s">
        <v>46</v>
      </c>
      <c r="D29" s="135" t="s">
        <v>41</v>
      </c>
      <c r="E29" s="70">
        <f>SUM(F29:L29)</f>
        <v>0</v>
      </c>
      <c r="F29" s="73">
        <v>106.8</v>
      </c>
      <c r="G29" s="73"/>
      <c r="H29" s="58"/>
      <c r="I29" s="122">
        <v>-92.5625</v>
      </c>
      <c r="J29" s="136">
        <v>-14.2375</v>
      </c>
      <c r="K29" s="137"/>
      <c r="L29" s="122"/>
      <c r="M29" s="138">
        <v>200</v>
      </c>
      <c r="N29" s="138">
        <v>200</v>
      </c>
      <c r="O29" s="71"/>
      <c r="P29" s="51"/>
      <c r="Q29" s="52"/>
      <c r="R29" s="71"/>
    </row>
    <row r="30" spans="2:18" s="41" customFormat="1" ht="13.5" hidden="1">
      <c r="B30" s="139" t="s">
        <v>48</v>
      </c>
      <c r="C30" s="88" t="s">
        <v>23</v>
      </c>
      <c r="D30" s="88"/>
      <c r="E30" s="89">
        <f>F30+G30+H30+I30+J30+L30</f>
        <v>0</v>
      </c>
      <c r="F30" s="90">
        <f>F31</f>
        <v>40</v>
      </c>
      <c r="G30" s="90">
        <f>G31</f>
        <v>0</v>
      </c>
      <c r="H30" s="47">
        <f>H31</f>
        <v>-40</v>
      </c>
      <c r="I30" s="91"/>
      <c r="J30" s="92"/>
      <c r="K30" s="93"/>
      <c r="L30" s="91"/>
      <c r="M30" s="94">
        <f>M31</f>
        <v>0</v>
      </c>
      <c r="N30" s="94">
        <f>N31</f>
        <v>0</v>
      </c>
      <c r="O30" s="51"/>
      <c r="P30" s="51"/>
      <c r="Q30" s="52"/>
      <c r="R30" s="51"/>
    </row>
    <row r="31" spans="2:18" s="63" customFormat="1" ht="13.5" hidden="1">
      <c r="B31" s="140" t="s">
        <v>49</v>
      </c>
      <c r="C31" s="83" t="s">
        <v>23</v>
      </c>
      <c r="D31" s="83" t="s">
        <v>23</v>
      </c>
      <c r="E31" s="70">
        <f>F31+G31+H31+I31+J31+L31</f>
        <v>0</v>
      </c>
      <c r="F31" s="73">
        <v>40</v>
      </c>
      <c r="G31" s="73"/>
      <c r="H31" s="58">
        <v>-40</v>
      </c>
      <c r="I31" s="99"/>
      <c r="J31" s="100"/>
      <c r="K31" s="101"/>
      <c r="L31" s="99"/>
      <c r="M31" s="70">
        <f>40-40</f>
        <v>0</v>
      </c>
      <c r="N31" s="70">
        <f>40-40</f>
        <v>0</v>
      </c>
      <c r="O31" s="71"/>
      <c r="P31" s="51"/>
      <c r="Q31" s="52"/>
      <c r="R31" s="71"/>
    </row>
    <row r="32" spans="2:18" s="41" customFormat="1" ht="13.5">
      <c r="B32" s="87" t="s">
        <v>50</v>
      </c>
      <c r="C32" s="88" t="s">
        <v>51</v>
      </c>
      <c r="D32" s="88"/>
      <c r="E32" s="141">
        <f>F32+G32+H32+I32+J32+L32</f>
        <v>18958.201</v>
      </c>
      <c r="F32" s="90">
        <f aca="true" t="shared" si="3" ref="F32:N32">F33</f>
        <v>16319.9</v>
      </c>
      <c r="G32" s="90">
        <f t="shared" si="3"/>
        <v>0</v>
      </c>
      <c r="H32" s="47">
        <f t="shared" si="3"/>
        <v>340</v>
      </c>
      <c r="I32" s="47">
        <f t="shared" si="3"/>
        <v>2206.7</v>
      </c>
      <c r="J32" s="48">
        <f t="shared" si="3"/>
        <v>91.601</v>
      </c>
      <c r="K32" s="49">
        <f t="shared" si="3"/>
        <v>0</v>
      </c>
      <c r="L32" s="47">
        <f t="shared" si="3"/>
        <v>0</v>
      </c>
      <c r="M32" s="50">
        <f t="shared" si="3"/>
        <v>15460</v>
      </c>
      <c r="N32" s="50">
        <f t="shared" si="3"/>
        <v>15676</v>
      </c>
      <c r="O32" s="51"/>
      <c r="P32" s="51"/>
      <c r="Q32" s="52"/>
      <c r="R32" s="51"/>
    </row>
    <row r="33" spans="2:18" s="142" customFormat="1" ht="13.5">
      <c r="B33" s="82" t="s">
        <v>52</v>
      </c>
      <c r="C33" s="83" t="s">
        <v>51</v>
      </c>
      <c r="D33" s="83" t="s">
        <v>17</v>
      </c>
      <c r="E33" s="143">
        <f>SUM(F33:L33)</f>
        <v>18958.201</v>
      </c>
      <c r="F33" s="57">
        <f>16247.4+72.5</f>
        <v>16319.9</v>
      </c>
      <c r="G33" s="57"/>
      <c r="H33" s="58">
        <v>340</v>
      </c>
      <c r="I33" s="57">
        <v>2206.7</v>
      </c>
      <c r="J33" s="59">
        <v>91.601</v>
      </c>
      <c r="K33" s="60">
        <f>-24.367-58+82.367</f>
        <v>0</v>
      </c>
      <c r="L33" s="57"/>
      <c r="M33" s="70">
        <f>15420+40</f>
        <v>15460</v>
      </c>
      <c r="N33" s="70">
        <f>15636+40</f>
        <v>15676</v>
      </c>
      <c r="O33" s="144"/>
      <c r="P33" s="51"/>
      <c r="Q33" s="52"/>
      <c r="R33" s="144"/>
    </row>
    <row r="34" spans="2:18" s="145" customFormat="1" ht="13.5">
      <c r="B34" s="96" t="s">
        <v>53</v>
      </c>
      <c r="C34" s="88" t="s">
        <v>35</v>
      </c>
      <c r="D34" s="88"/>
      <c r="E34" s="44">
        <f>F34+G34+H34+I34+J34+L34+K34</f>
        <v>1020.89078</v>
      </c>
      <c r="F34" s="146">
        <f>SUM(F35:F37)</f>
        <v>1091.76</v>
      </c>
      <c r="G34" s="147">
        <f>SUM(G35:G37)</f>
        <v>27.644</v>
      </c>
      <c r="H34" s="47">
        <f>SUM(H35:H37)</f>
        <v>0</v>
      </c>
      <c r="I34" s="148">
        <f>I35+I36+I37</f>
        <v>-167.09923</v>
      </c>
      <c r="J34" s="149">
        <f>J35+J36+J37</f>
        <v>-0.00825</v>
      </c>
      <c r="K34" s="150">
        <f>K35+K36+K37</f>
        <v>68.59425999999999</v>
      </c>
      <c r="L34" s="148">
        <f>L35+L36+L37</f>
        <v>0</v>
      </c>
      <c r="M34" s="47">
        <f>SUM(M35:M37)</f>
        <v>1031.76</v>
      </c>
      <c r="N34" s="47">
        <f>SUM(N35:N37)</f>
        <v>1004.46</v>
      </c>
      <c r="O34" s="118"/>
      <c r="P34" s="51"/>
      <c r="Q34" s="52"/>
      <c r="R34" s="118"/>
    </row>
    <row r="35" spans="2:18" s="151" customFormat="1" ht="13.5">
      <c r="B35" s="54" t="s">
        <v>54</v>
      </c>
      <c r="C35" s="83" t="s">
        <v>35</v>
      </c>
      <c r="D35" s="83" t="s">
        <v>17</v>
      </c>
      <c r="E35" s="65">
        <f>SUM(F35:L35)</f>
        <v>480.34903</v>
      </c>
      <c r="F35" s="57">
        <v>585.6</v>
      </c>
      <c r="G35" s="57"/>
      <c r="H35" s="58"/>
      <c r="I35" s="57">
        <v>-105.24523</v>
      </c>
      <c r="J35" s="59"/>
      <c r="K35" s="60">
        <v>-0.00574</v>
      </c>
      <c r="L35" s="57"/>
      <c r="M35" s="58">
        <v>585.6</v>
      </c>
      <c r="N35" s="58">
        <v>585.6</v>
      </c>
      <c r="O35" s="152"/>
      <c r="P35" s="51"/>
      <c r="Q35" s="52"/>
      <c r="R35" s="152"/>
    </row>
    <row r="36" spans="2:18" s="81" customFormat="1" ht="13.5">
      <c r="B36" s="153" t="s">
        <v>55</v>
      </c>
      <c r="C36" s="135" t="s">
        <v>35</v>
      </c>
      <c r="D36" s="135" t="s">
        <v>19</v>
      </c>
      <c r="E36" s="143">
        <f>SUM(F36:L36)</f>
        <v>94.04599999999999</v>
      </c>
      <c r="F36" s="57">
        <v>87.3</v>
      </c>
      <c r="G36" s="57"/>
      <c r="H36" s="58"/>
      <c r="I36" s="57">
        <v>-61.854</v>
      </c>
      <c r="J36" s="59"/>
      <c r="K36" s="60">
        <v>68.6</v>
      </c>
      <c r="L36" s="57"/>
      <c r="M36" s="73">
        <v>27.3</v>
      </c>
      <c r="N36" s="73">
        <v>0</v>
      </c>
      <c r="O36" s="71"/>
      <c r="P36" s="51"/>
      <c r="Q36" s="52"/>
      <c r="R36" s="71"/>
    </row>
    <row r="37" spans="2:18" s="81" customFormat="1" ht="13.5">
      <c r="B37" s="153" t="s">
        <v>56</v>
      </c>
      <c r="C37" s="135" t="s">
        <v>35</v>
      </c>
      <c r="D37" s="135" t="s">
        <v>21</v>
      </c>
      <c r="E37" s="65">
        <f>SUM(F37:L37)</f>
        <v>446.49575000000004</v>
      </c>
      <c r="F37" s="57">
        <v>418.86</v>
      </c>
      <c r="G37" s="57">
        <v>27.644</v>
      </c>
      <c r="H37" s="58"/>
      <c r="I37" s="78"/>
      <c r="J37" s="154">
        <v>-0.00825</v>
      </c>
      <c r="K37" s="80"/>
      <c r="L37" s="58"/>
      <c r="M37" s="74">
        <v>418.86</v>
      </c>
      <c r="N37" s="74">
        <v>418.86</v>
      </c>
      <c r="O37" s="71"/>
      <c r="P37" s="51"/>
      <c r="Q37" s="52"/>
      <c r="R37" s="71"/>
    </row>
    <row r="38" spans="2:18" s="63" customFormat="1" ht="13.5" hidden="1">
      <c r="B38" s="96" t="s">
        <v>57</v>
      </c>
      <c r="C38" s="88" t="s">
        <v>25</v>
      </c>
      <c r="D38" s="88"/>
      <c r="E38" s="155"/>
      <c r="F38" s="47">
        <v>0</v>
      </c>
      <c r="G38" s="105"/>
      <c r="H38" s="47"/>
      <c r="I38" s="156"/>
      <c r="J38" s="157"/>
      <c r="K38" s="158"/>
      <c r="L38" s="156"/>
      <c r="M38" s="61"/>
      <c r="N38" s="61"/>
      <c r="O38" s="71"/>
      <c r="P38" s="71"/>
      <c r="Q38" s="71"/>
      <c r="R38" s="71"/>
    </row>
    <row r="39" spans="2:18" s="63" customFormat="1" ht="13.5" hidden="1">
      <c r="B39" s="54" t="s">
        <v>58</v>
      </c>
      <c r="C39" s="83" t="s">
        <v>25</v>
      </c>
      <c r="D39" s="83" t="s">
        <v>29</v>
      </c>
      <c r="E39" s="159"/>
      <c r="F39" s="47">
        <v>0</v>
      </c>
      <c r="G39" s="105"/>
      <c r="H39" s="47"/>
      <c r="I39" s="156"/>
      <c r="J39" s="157"/>
      <c r="K39" s="158"/>
      <c r="L39" s="156"/>
      <c r="M39" s="61"/>
      <c r="N39" s="61"/>
      <c r="O39" s="71"/>
      <c r="P39" s="71"/>
      <c r="Q39" s="71"/>
      <c r="R39" s="71"/>
    </row>
    <row r="40" spans="2:18" s="160" customFormat="1" ht="15">
      <c r="B40" s="161" t="s">
        <v>59</v>
      </c>
      <c r="C40" s="43"/>
      <c r="D40" s="43"/>
      <c r="E40" s="44">
        <f>F40+G40+H40+I40+J40+L40+K40</f>
        <v>53525.21384</v>
      </c>
      <c r="F40" s="94">
        <f aca="true" t="shared" si="4" ref="F40:N40">SUM(F10,F16,F18,F24,F28,F30,F32,F34,F38,F21)</f>
        <v>38153.799999999996</v>
      </c>
      <c r="G40" s="148">
        <f t="shared" si="4"/>
        <v>3020.1076399999997</v>
      </c>
      <c r="H40" s="47">
        <f t="shared" si="4"/>
        <v>3123.78339</v>
      </c>
      <c r="I40" s="162">
        <f t="shared" si="4"/>
        <v>8596.77281</v>
      </c>
      <c r="J40" s="163">
        <f t="shared" si="4"/>
        <v>602.65</v>
      </c>
      <c r="K40" s="164">
        <f t="shared" si="4"/>
        <v>28.099999999999994</v>
      </c>
      <c r="L40" s="162">
        <f t="shared" si="4"/>
        <v>0</v>
      </c>
      <c r="M40" s="50">
        <f t="shared" si="4"/>
        <v>36350.3</v>
      </c>
      <c r="N40" s="50">
        <f t="shared" si="4"/>
        <v>36941.5</v>
      </c>
      <c r="O40" s="165"/>
      <c r="P40" s="51"/>
      <c r="Q40" s="52"/>
      <c r="R40" s="165"/>
    </row>
    <row r="43" spans="4:14" ht="12.75" hidden="1">
      <c r="D43" s="2" t="s">
        <v>60</v>
      </c>
      <c r="F43" s="166">
        <f>F37+F36+F29+F27+F25+50</f>
        <v>4937.7</v>
      </c>
      <c r="G43" s="167"/>
      <c r="I43" s="166"/>
      <c r="J43" s="168"/>
      <c r="K43" s="166"/>
      <c r="L43" s="166"/>
      <c r="M43" s="166">
        <f>M37+M36+M29+M27+M25+50</f>
        <v>4590.1</v>
      </c>
      <c r="N43" s="166">
        <f>N37+N36+N29+N27+N25+50</f>
        <v>4899.8</v>
      </c>
    </row>
    <row r="44" spans="4:14" ht="12.75" hidden="1">
      <c r="D44" s="2" t="s">
        <v>61</v>
      </c>
      <c r="F44" s="4">
        <f>F11+F12+F14+F15+F17+F20+F22+F30+F32+F35-50</f>
        <v>33216.1</v>
      </c>
      <c r="M44" s="4">
        <f>M11+M12+M14+M15+M17+M20+M22+M30+M32+M35-50</f>
        <v>31760.199999999997</v>
      </c>
      <c r="N44" s="4">
        <f>N11+N12+N14+N15+N17+N20+N22+N30+N32+N35-50</f>
        <v>32041.699999999997</v>
      </c>
    </row>
    <row r="45" spans="6:14" ht="12.75" hidden="1">
      <c r="F45" s="169">
        <f>F43+F44</f>
        <v>38153.799999999996</v>
      </c>
      <c r="G45" s="170"/>
      <c r="H45" s="169"/>
      <c r="I45" s="169"/>
      <c r="J45" s="171"/>
      <c r="K45" s="169"/>
      <c r="L45" s="169"/>
      <c r="M45" s="169">
        <f>M43+M44</f>
        <v>36350.299999999996</v>
      </c>
      <c r="N45" s="169">
        <f>N43+N44</f>
        <v>36941.5</v>
      </c>
    </row>
  </sheetData>
  <sheetProtection selectLockedCells="1" selectUnlockedCells="1"/>
  <mergeCells count="4">
    <mergeCell ref="B6:N6"/>
    <mergeCell ref="M1:N1"/>
    <mergeCell ref="E2:N2"/>
    <mergeCell ref="E3:N3"/>
  </mergeCells>
  <printOptions/>
  <pageMargins left="0.6298611111111111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2021-12-24T07:00:28Z</dcterms:modified>
  <cp:category/>
  <cp:version/>
  <cp:contentType/>
  <cp:contentStatus/>
</cp:coreProperties>
</file>