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_FilterDatabase" localSheetId="0" hidden="1">'лист'!$A$9:$Q$175</definedName>
    <definedName name="Excel_BuiltIn__FilterDatabase" localSheetId="0">'лист'!$A$10:$U$175</definedName>
    <definedName name="Excel_BuiltIn_Print_Area" localSheetId="0">'лист'!$A$1:$Q$175</definedName>
    <definedName name="_xlnm.Print_Area" localSheetId="0">'лист'!$A$1:$Q$175</definedName>
  </definedNames>
  <calcPr fullCalcOnLoad="1"/>
</workbook>
</file>

<file path=xl/sharedStrings.xml><?xml version="1.0" encoding="utf-8"?>
<sst xmlns="http://schemas.openxmlformats.org/spreadsheetml/2006/main" count="690" uniqueCount="240">
  <si>
    <t>Приложение №2</t>
  </si>
  <si>
    <t>к решению Совета народных депутатов муниципального образования Андреевское сельское поселение</t>
  </si>
  <si>
    <t>Ведомственная структура расходов бюджета муниципального образования
 Андреевское сельское поселение на 2021 год и на плановый период 2022 и 2023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</si>
  <si>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</si>
  <si>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</si>
  <si>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</si>
  <si>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</si>
  <si>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</si>
  <si>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</si>
  <si>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</si>
  <si>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Утвержденный план 
На 2020 год</t>
  </si>
  <si>
    <t>План 
На 2021 год</t>
  </si>
  <si>
    <t>Утв.План 
На 2021 год</t>
  </si>
  <si>
    <t>март</t>
  </si>
  <si>
    <t>Июнь</t>
  </si>
  <si>
    <t>октябрь</t>
  </si>
  <si>
    <t>ноябрь</t>
  </si>
  <si>
    <t>декабрь</t>
  </si>
  <si>
    <t>План 
На 2022 год</t>
  </si>
  <si>
    <t>План 
На 2023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</si>
  <si>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</si>
  <si>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</si>
  <si>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</si>
  <si>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</si>
  <si>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</si>
  <si>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</si>
  <si>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</si>
  <si>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</si>
  <si>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</si>
  <si>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</si>
  <si>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0500180020</t>
  </si>
  <si>
    <t>200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</si>
  <si>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</si>
  <si>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</si>
  <si>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</si>
  <si>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</si>
  <si>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</si>
  <si>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</si>
  <si>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Расходы на обеспечение деятельности учреждений и органов власти (Иные бюджетные ассигнования)</t>
  </si>
  <si>
    <t>800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</si>
  <si>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</si>
  <si>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</si>
  <si>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</si>
  <si>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</si>
  <si>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</si>
  <si>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</si>
  <si>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</si>
  <si>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</si>
  <si>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</si>
  <si>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</si>
  <si>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</si>
  <si>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</si>
  <si>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Обеспечение проведения выборов и референдумов</t>
  </si>
  <si>
    <t>07</t>
  </si>
  <si>
    <t>Расходы на подготовку и проведение выборов (Закупка товаров, работ и услуг для обеспечения государственных (муниципальных) нужд)</t>
  </si>
  <si>
    <t>9990060250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</si>
  <si>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</si>
  <si>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</si>
  <si>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</si>
  <si>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</si>
  <si>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Другие общегосударственные вопросы</t>
  </si>
  <si>
    <t>13</t>
  </si>
  <si>
    <t>Муниципальная программа «Развитие муниципальной службы в муниципальном образовании Андреевское сельское поселение Александровского района»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</si>
  <si>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</si>
  <si>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 xml:space="preserve">Основное мероприятие «Формирование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</si>
  <si>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</si>
  <si>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</si>
  <si>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0500262100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</si>
  <si>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</si>
  <si>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</si>
  <si>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</si>
  <si>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</si>
  <si>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</si>
  <si>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</si>
  <si>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</si>
  <si>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</si>
  <si>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</si>
  <si>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</si>
  <si>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</si>
  <si>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Основное мероприятие "Расходы по укреплению материально-технической базы"</t>
  </si>
  <si>
    <t>06003</t>
  </si>
  <si>
    <t>060038Б020</t>
  </si>
  <si>
    <t xml:space="preserve"> Непрограммные расходы  </t>
  </si>
  <si>
    <t>Расходы по оплате исполнительных листов и судебных решений (Иные бюджетные ассигнования)</t>
  </si>
  <si>
    <t>9990060150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</si>
  <si>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</si>
  <si>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</si>
  <si>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</si>
  <si>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</si>
  <si>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</si>
  <si>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</si>
  <si>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</si>
  <si>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</si>
  <si>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 xml:space="preserve">Гражданская оборона 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</si>
  <si>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</si>
  <si>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</si>
  <si>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</si>
  <si>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</si>
  <si>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</si>
  <si>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</si>
  <si>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</si>
  <si>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</si>
  <si>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Муниципальная программа "Развитие системы пожарной безопасности на территории Андреевского сельского поселения 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</si>
  <si>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</si>
  <si>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</si>
  <si>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</si>
  <si>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</si>
  <si>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Национальная экономика</t>
  </si>
  <si>
    <t>Общеэкономические вопросы</t>
  </si>
  <si>
    <t xml:space="preserve"> Иные непрограммные расходы  </t>
  </si>
  <si>
    <t>99 9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</si>
  <si>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</si>
  <si>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</si>
  <si>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Другие вопросы в области национальной экономики</t>
  </si>
  <si>
    <t>12</t>
  </si>
  <si>
    <t>в том числе: до МРОТ 12792 по АХО</t>
  </si>
  <si>
    <t>в том числе: до ср.зарплаты по культуре (прогноз 2021г.- 29664)</t>
  </si>
  <si>
    <t>Расходы на мероприятия по проведению оценки и предпродажной подготовки земельных участков (Закупка товаров, работ и услуг для обеспечения государственных (муниципальных) нужд)</t>
  </si>
  <si>
    <t>9990060300</t>
  </si>
  <si>
    <t>Жилищно-коммунальное хозяйство</t>
  </si>
  <si>
    <t>Жилищное хозяйство</t>
  </si>
  <si>
    <t>Муниципальная программа «Капитальный ремонт многоквартирных домов муниципального образования  Андреевское сельское поселение»</t>
  </si>
  <si>
    <t xml:space="preserve">Основное мероприятие "Ремонт муниципального имущества" </t>
  </si>
  <si>
    <t>01001</t>
  </si>
  <si>
    <t>Расходы на ремонт муниципального имущества (Закупка товаров, работ и услуг для обеспечения государственных (муниципальных) нужд)</t>
  </si>
  <si>
    <t>0100162050</t>
  </si>
  <si>
    <t>Основное мероприятие «Оплата взносов на  капитальный ремонт многоквартирных домов»</t>
  </si>
  <si>
    <t>01002</t>
  </si>
  <si>
    <t>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</si>
  <si>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</si>
  <si>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</si>
  <si>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</si>
  <si>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</si>
  <si>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</si>
  <si>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Коммунальное хозяйство</t>
  </si>
  <si>
    <t>Муниципальная программа «Комплексная программа благоустройства территории Андреевского сельского поселения»</t>
  </si>
  <si>
    <t>Основное мероприятие «Создание мест накопления ТКО»</t>
  </si>
  <si>
    <t>03007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</si>
  <si>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</si>
  <si>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0300762070</t>
  </si>
  <si>
    <t>Благоустройство</t>
  </si>
  <si>
    <t>Основное мероприятие «Уличное освещение»</t>
  </si>
  <si>
    <t>03001</t>
  </si>
  <si>
    <t>0300162070</t>
  </si>
  <si>
    <t>Расходы на уличное освещение (Закупка товаров, работ и услуг для обеспечения государственных (муниципальных) нужд)</t>
  </si>
  <si>
    <t>Основное мероприятие «Содержание сетей уличного освещения»</t>
  </si>
  <si>
    <t>03002</t>
  </si>
  <si>
    <t>Расходы на мероприятия по благоустройству территории поселения  (Закупка товаров, работ и услуг для обеспечения государственных (муниципальных) нужд)</t>
  </si>
  <si>
    <t>0300262070</t>
  </si>
  <si>
    <t>Основное мероприятие «Организация и содержание мест захоронения»</t>
  </si>
  <si>
    <t>03003</t>
  </si>
  <si>
    <t>0300362070</t>
  </si>
  <si>
    <t>Основное мероприятие «Прочие мероприятия по благоустройству»</t>
  </si>
  <si>
    <t>03004</t>
  </si>
  <si>
    <t>0300462070</t>
  </si>
  <si>
    <t>Основное мероприятие «Ликвидация стихийных свалок»</t>
  </si>
  <si>
    <t>03005</t>
  </si>
  <si>
    <t>0300562070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</si>
  <si>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</si>
  <si>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</si>
  <si>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</si>
  <si>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</si>
  <si>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в том числе за счет средств местного бюджета</t>
  </si>
  <si>
    <t>Основное мероприятие «Сбор и вывоз ТКО»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</si>
  <si>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</si>
  <si>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99900L2990</t>
  </si>
  <si>
    <t>Охрана окружающей среды</t>
  </si>
  <si>
    <t>Другие вопросы в области охраны окружающей среды</t>
  </si>
  <si>
    <t>Образование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</si>
  <si>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</si>
  <si>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</si>
  <si>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9990040060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</si>
  <si>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</si>
  <si>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</si>
  <si>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</si>
  <si>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</si>
  <si>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</si>
  <si>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</si>
  <si>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</si>
  <si>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</si>
  <si>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</si>
  <si>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</si>
  <si>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</si>
  <si>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</si>
  <si>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</si>
  <si>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</si>
  <si>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</si>
  <si>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</si>
  <si>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</si>
  <si>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</si>
  <si>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</si>
  <si>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0400371960</t>
  </si>
  <si>
    <t>Основное мероприятие «Гранты на реализацию творческих проектов на селе в сфере культуры»</t>
  </si>
  <si>
    <t>04008</t>
  </si>
  <si>
    <t>Иные межбюджетные трансферты на выделение грантов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</si>
  <si>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0400871330</t>
  </si>
  <si>
    <t>Основное мероприятие «Федеральный проект «Культурная среда» национального проекта «Культура»</t>
  </si>
  <si>
    <t>040А1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</si>
  <si>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</si>
  <si>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040А155196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</si>
  <si>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</si>
  <si>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</si>
  <si>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</si>
  <si>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</si>
  <si>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05003</t>
  </si>
  <si>
    <t>Расходы на пенсионное обеспечение (Закупка товаров, работ и услуг для обеспечения государственных (муниципальных) нужд)</t>
  </si>
  <si>
    <t>0500360070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</si>
  <si>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</si>
  <si>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</si>
  <si>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</si>
  <si>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</si>
  <si>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</si>
  <si>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</si>
  <si>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</si>
  <si>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Охрана семьи и детства</t>
  </si>
  <si>
    <t>Расходы на обеспечение жильем молодых семей (Межбюджетные трансферты)</t>
  </si>
  <si>
    <t>9990014970</t>
  </si>
  <si>
    <t>Физическая культура и спорт</t>
  </si>
  <si>
    <t>Массовый спорт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</si>
  <si>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</si>
  <si>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</si>
  <si>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 (Закупка товаров, работ и услуг для обеспечения государственных (муниципальных) нужд)</t>
  </si>
  <si>
    <t>9990060180</t>
  </si>
  <si>
    <t xml:space="preserve">Совет народных депутатов Андреевского сельского поселения </t>
  </si>
  <si>
    <t xml:space="preserve">                                                                                                                         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</si>
  <si>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</si>
  <si>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</si>
  <si>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ИТОГО РАСХОДОВ:</t>
  </si>
  <si>
    <t>доходы</t>
  </si>
  <si>
    <t>ДОХОДЫ</t>
  </si>
  <si>
    <t>Собств.</t>
  </si>
  <si>
    <t>обл.</t>
  </si>
  <si>
    <t>иные из рай. Бюджета</t>
  </si>
  <si>
    <t>Отклонение</t>
  </si>
  <si>
    <t>бюдж</t>
  </si>
  <si>
    <t>фпс</t>
  </si>
  <si>
    <t>Б/О</t>
  </si>
  <si>
    <t>ЖКХ</t>
  </si>
  <si>
    <t>итого по уточнению</t>
  </si>
  <si>
    <t>от 24.12.2021 №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</si>
</sst>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#,##0.0"/>
    <numFmt numFmtId="167" formatCode="0.0"/>
    <numFmt numFmtId="168" formatCode="0.00000"/>
    <numFmt numFmtId="169" formatCode="000"/>
    <numFmt numFmtId="170" formatCode="0.0000"/>
  </numFmts>
  <fonts count="7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2" applyNumberFormat="0" applyAlignment="0" applyProtection="0"/>
    <xf numFmtId="0" fontId="57" fillId="34" borderId="3" applyNumberFormat="0" applyAlignment="0" applyProtection="0"/>
    <xf numFmtId="0" fontId="58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5" borderId="8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9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2" fillId="23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23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15" fillId="23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0" fontId="17" fillId="0" borderId="11" xfId="0" applyFont="1" applyBorder="1" applyAlignment="1">
      <alignment horizontal="left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9" fillId="23" borderId="11" xfId="0" applyNumberFormat="1" applyFont="1" applyFill="1" applyBorder="1" applyAlignment="1">
      <alignment horizontal="center" vertical="center" wrapText="1"/>
    </xf>
    <xf numFmtId="0" fontId="19" fillId="4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23" borderId="11" xfId="0" applyNumberFormat="1" applyFont="1" applyFill="1" applyBorder="1" applyAlignment="1">
      <alignment horizontal="center" vertical="center"/>
    </xf>
    <xf numFmtId="0" fontId="19" fillId="4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wrapText="1"/>
    </xf>
    <xf numFmtId="168" fontId="20" fillId="0" borderId="11" xfId="0" applyNumberFormat="1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 wrapText="1"/>
    </xf>
    <xf numFmtId="167" fontId="20" fillId="23" borderId="11" xfId="0" applyNumberFormat="1" applyFont="1" applyFill="1" applyBorder="1" applyAlignment="1">
      <alignment horizontal="center" wrapText="1"/>
    </xf>
    <xf numFmtId="167" fontId="20" fillId="40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49" fontId="20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23" borderId="11" xfId="0" applyNumberFormat="1" applyFont="1" applyFill="1" applyBorder="1" applyAlignment="1">
      <alignment horizontal="center"/>
    </xf>
    <xf numFmtId="0" fontId="20" fillId="40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23" borderId="11" xfId="0" applyNumberFormat="1" applyFont="1" applyFill="1" applyBorder="1" applyAlignment="1">
      <alignment horizontal="center" wrapText="1"/>
    </xf>
    <xf numFmtId="0" fontId="20" fillId="40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167" fontId="14" fillId="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0" fontId="14" fillId="23" borderId="11" xfId="0" applyNumberFormat="1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164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14" fillId="23" borderId="11" xfId="0" applyNumberFormat="1" applyFont="1" applyFill="1" applyBorder="1" applyAlignment="1">
      <alignment horizontal="center"/>
    </xf>
    <xf numFmtId="0" fontId="14" fillId="40" borderId="11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wrapText="1"/>
    </xf>
    <xf numFmtId="169" fontId="22" fillId="0" borderId="11" xfId="0" applyNumberFormat="1" applyFon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0" fontId="22" fillId="23" borderId="11" xfId="0" applyNumberFormat="1" applyFont="1" applyFill="1" applyBorder="1" applyAlignment="1">
      <alignment horizontal="center" wrapText="1"/>
    </xf>
    <xf numFmtId="0" fontId="22" fillId="4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2" fillId="23" borderId="11" xfId="0" applyNumberFormat="1" applyFont="1" applyFill="1" applyBorder="1" applyAlignment="1">
      <alignment horizontal="center"/>
    </xf>
    <xf numFmtId="0" fontId="22" fillId="40" borderId="11" xfId="0" applyNumberFormat="1" applyFont="1" applyFill="1" applyBorder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3" fillId="23" borderId="11" xfId="0" applyNumberFormat="1" applyFont="1" applyFill="1" applyBorder="1" applyAlignment="1">
      <alignment horizontal="center"/>
    </xf>
    <xf numFmtId="0" fontId="13" fillId="40" borderId="11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168" fontId="14" fillId="0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41" borderId="11" xfId="0" applyFont="1" applyFill="1" applyBorder="1" applyAlignment="1">
      <alignment horizontal="left" vertical="center" wrapText="1"/>
    </xf>
    <xf numFmtId="49" fontId="14" fillId="41" borderId="11" xfId="0" applyNumberFormat="1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left" vertical="center" wrapText="1"/>
    </xf>
    <xf numFmtId="49" fontId="18" fillId="41" borderId="11" xfId="0" applyNumberFormat="1" applyFont="1" applyFill="1" applyBorder="1" applyAlignment="1">
      <alignment horizontal="center" wrapText="1"/>
    </xf>
    <xf numFmtId="0" fontId="13" fillId="41" borderId="11" xfId="0" applyFont="1" applyFill="1" applyBorder="1" applyAlignment="1">
      <alignment horizontal="left" wrapText="1"/>
    </xf>
    <xf numFmtId="49" fontId="13" fillId="41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13" fillId="41" borderId="11" xfId="0" applyFont="1" applyFill="1" applyBorder="1" applyAlignment="1">
      <alignment horizontal="left" vertical="center" wrapText="1"/>
    </xf>
    <xf numFmtId="0" fontId="20" fillId="41" borderId="11" xfId="0" applyFont="1" applyFill="1" applyBorder="1" applyAlignment="1">
      <alignment horizontal="left" vertical="center" wrapText="1"/>
    </xf>
    <xf numFmtId="49" fontId="20" fillId="41" borderId="11" xfId="0" applyNumberFormat="1" applyFont="1" applyFill="1" applyBorder="1" applyAlignment="1">
      <alignment horizontal="center" wrapText="1"/>
    </xf>
    <xf numFmtId="165" fontId="20" fillId="0" borderId="11" xfId="0" applyNumberFormat="1" applyFont="1" applyFill="1" applyBorder="1" applyAlignment="1">
      <alignment horizontal="center" wrapText="1"/>
    </xf>
    <xf numFmtId="167" fontId="14" fillId="23" borderId="11" xfId="0" applyNumberFormat="1" applyFont="1" applyFill="1" applyBorder="1" applyAlignment="1">
      <alignment horizontal="center" wrapText="1"/>
    </xf>
    <xf numFmtId="167" fontId="14" fillId="4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164" fontId="14" fillId="0" borderId="11" xfId="0" applyNumberFormat="1" applyFont="1" applyFill="1" applyBorder="1" applyAlignment="1">
      <alignment horizontal="center"/>
    </xf>
    <xf numFmtId="0" fontId="22" fillId="41" borderId="11" xfId="0" applyFont="1" applyFill="1" applyBorder="1" applyAlignment="1">
      <alignment horizontal="left" vertical="center" wrapText="1"/>
    </xf>
    <xf numFmtId="49" fontId="22" fillId="41" borderId="11" xfId="0" applyNumberFormat="1" applyFont="1" applyFill="1" applyBorder="1" applyAlignment="1">
      <alignment horizontal="center" wrapText="1"/>
    </xf>
    <xf numFmtId="165" fontId="14" fillId="0" borderId="11" xfId="0" applyNumberFormat="1" applyFont="1" applyFill="1" applyBorder="1" applyAlignment="1">
      <alignment horizontal="center" wrapText="1"/>
    </xf>
    <xf numFmtId="167" fontId="22" fillId="0" borderId="11" xfId="0" applyNumberFormat="1" applyFont="1" applyFill="1" applyBorder="1" applyAlignment="1">
      <alignment horizontal="center"/>
    </xf>
    <xf numFmtId="2" fontId="14" fillId="40" borderId="11" xfId="0" applyNumberFormat="1" applyFont="1" applyFill="1" applyBorder="1" applyAlignment="1">
      <alignment horizontal="center" wrapText="1"/>
    </xf>
    <xf numFmtId="0" fontId="18" fillId="4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168" fontId="13" fillId="0" borderId="11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165" fontId="24" fillId="0" borderId="11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 wrapText="1"/>
    </xf>
    <xf numFmtId="0" fontId="24" fillId="23" borderId="11" xfId="0" applyNumberFormat="1" applyFont="1" applyFill="1" applyBorder="1" applyAlignment="1">
      <alignment horizontal="center" wrapText="1"/>
    </xf>
    <xf numFmtId="0" fontId="24" fillId="40" borderId="11" xfId="0" applyNumberFormat="1" applyFont="1" applyFill="1" applyBorder="1" applyAlignment="1">
      <alignment horizontal="center" wrapText="1"/>
    </xf>
    <xf numFmtId="167" fontId="24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center" wrapText="1"/>
    </xf>
    <xf numFmtId="167" fontId="30" fillId="0" borderId="11" xfId="0" applyNumberFormat="1" applyFont="1" applyFill="1" applyBorder="1" applyAlignment="1">
      <alignment horizontal="center" wrapText="1"/>
    </xf>
    <xf numFmtId="0" fontId="29" fillId="0" borderId="11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wrapText="1"/>
    </xf>
    <xf numFmtId="0" fontId="29" fillId="23" borderId="11" xfId="0" applyNumberFormat="1" applyFont="1" applyFill="1" applyBorder="1" applyAlignment="1">
      <alignment horizontal="center" wrapText="1"/>
    </xf>
    <xf numFmtId="0" fontId="29" fillId="40" borderId="11" xfId="0" applyNumberFormat="1" applyFont="1" applyFill="1" applyBorder="1" applyAlignment="1">
      <alignment horizontal="center" wrapText="1"/>
    </xf>
    <xf numFmtId="167" fontId="29" fillId="0" borderId="11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 wrapText="1"/>
    </xf>
    <xf numFmtId="170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168" fontId="18" fillId="0" borderId="11" xfId="0" applyNumberFormat="1" applyFont="1" applyFill="1" applyBorder="1" applyAlignment="1">
      <alignment horizontal="center" wrapText="1"/>
    </xf>
    <xf numFmtId="168" fontId="18" fillId="23" borderId="11" xfId="0" applyNumberFormat="1" applyFont="1" applyFill="1" applyBorder="1" applyAlignment="1">
      <alignment horizontal="center" wrapText="1"/>
    </xf>
    <xf numFmtId="0" fontId="18" fillId="40" borderId="11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/>
    </xf>
    <xf numFmtId="170" fontId="20" fillId="0" borderId="11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0" fontId="18" fillId="23" borderId="11" xfId="0" applyNumberFormat="1" applyFont="1" applyFill="1" applyBorder="1" applyAlignment="1">
      <alignment horizontal="center"/>
    </xf>
    <xf numFmtId="170" fontId="14" fillId="0" borderId="11" xfId="0" applyNumberFormat="1" applyFont="1" applyFill="1" applyBorder="1" applyAlignment="1">
      <alignment horizontal="center" wrapText="1"/>
    </xf>
    <xf numFmtId="170" fontId="13" fillId="0" borderId="11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left" vertical="center" wrapText="1"/>
    </xf>
    <xf numFmtId="167" fontId="14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168" fontId="18" fillId="23" borderId="11" xfId="0" applyNumberFormat="1" applyFont="1" applyFill="1" applyBorder="1" applyAlignment="1">
      <alignment horizontal="center"/>
    </xf>
    <xf numFmtId="168" fontId="13" fillId="23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wrapText="1"/>
    </xf>
    <xf numFmtId="164" fontId="13" fillId="40" borderId="11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left" wrapText="1" indent="2"/>
    </xf>
    <xf numFmtId="164" fontId="13" fillId="0" borderId="11" xfId="0" applyNumberFormat="1" applyFont="1" applyFill="1" applyBorder="1" applyAlignment="1">
      <alignment horizontal="center"/>
    </xf>
    <xf numFmtId="168" fontId="13" fillId="4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11" fontId="31" fillId="0" borderId="11" xfId="0" applyNumberFormat="1" applyFont="1" applyFill="1" applyBorder="1" applyAlignment="1">
      <alignment horizontal="left" vertical="center" wrapText="1"/>
    </xf>
    <xf numFmtId="49" fontId="31" fillId="41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Fill="1" applyBorder="1" applyAlignment="1">
      <alignment horizontal="center" wrapText="1"/>
    </xf>
    <xf numFmtId="167" fontId="29" fillId="0" borderId="11" xfId="0" applyNumberFormat="1" applyFont="1" applyFill="1" applyBorder="1" applyAlignment="1">
      <alignment horizontal="center" wrapText="1"/>
    </xf>
    <xf numFmtId="167" fontId="31" fillId="0" borderId="11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0" fontId="31" fillId="23" borderId="11" xfId="0" applyNumberFormat="1" applyFont="1" applyFill="1" applyBorder="1" applyAlignment="1">
      <alignment horizontal="center"/>
    </xf>
    <xf numFmtId="0" fontId="31" fillId="4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wrapText="1"/>
    </xf>
    <xf numFmtId="167" fontId="13" fillId="23" borderId="11" xfId="0" applyNumberFormat="1" applyFont="1" applyFill="1" applyBorder="1" applyAlignment="1">
      <alignment horizontal="center" wrapText="1"/>
    </xf>
    <xf numFmtId="167" fontId="13" fillId="40" borderId="11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23" borderId="11" xfId="0" applyNumberFormat="1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 wrapText="1"/>
    </xf>
    <xf numFmtId="2" fontId="31" fillId="0" borderId="11" xfId="0" applyNumberFormat="1" applyFont="1" applyFill="1" applyBorder="1" applyAlignment="1">
      <alignment horizontal="center" wrapText="1"/>
    </xf>
    <xf numFmtId="0" fontId="31" fillId="23" borderId="11" xfId="0" applyNumberFormat="1" applyFont="1" applyFill="1" applyBorder="1" applyAlignment="1">
      <alignment horizontal="center" wrapText="1"/>
    </xf>
    <xf numFmtId="0" fontId="31" fillId="40" borderId="11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left" vertical="center"/>
    </xf>
    <xf numFmtId="0" fontId="18" fillId="41" borderId="11" xfId="0" applyNumberFormat="1" applyFont="1" applyFill="1" applyBorder="1" applyAlignment="1">
      <alignment horizontal="left" vertical="center" wrapText="1"/>
    </xf>
    <xf numFmtId="49" fontId="18" fillId="41" borderId="15" xfId="0" applyNumberFormat="1" applyFont="1" applyFill="1" applyBorder="1" applyAlignment="1">
      <alignment horizontal="center" wrapText="1"/>
    </xf>
    <xf numFmtId="170" fontId="18" fillId="0" borderId="11" xfId="0" applyNumberFormat="1" applyFont="1" applyFill="1" applyBorder="1" applyAlignment="1">
      <alignment horizontal="center"/>
    </xf>
    <xf numFmtId="0" fontId="20" fillId="41" borderId="1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167" fontId="18" fillId="40" borderId="11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0" fontId="24" fillId="23" borderId="11" xfId="0" applyNumberFormat="1" applyFont="1" applyFill="1" applyBorder="1" applyAlignment="1">
      <alignment horizontal="center"/>
    </xf>
    <xf numFmtId="0" fontId="24" fillId="40" borderId="11" xfId="0" applyNumberFormat="1" applyFont="1" applyFill="1" applyBorder="1" applyAlignment="1">
      <alignment horizontal="center"/>
    </xf>
    <xf numFmtId="11" fontId="14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11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0" fontId="29" fillId="23" borderId="11" xfId="0" applyNumberFormat="1" applyFont="1" applyFill="1" applyBorder="1" applyAlignment="1">
      <alignment horizontal="center"/>
    </xf>
    <xf numFmtId="0" fontId="29" fillId="40" borderId="11" xfId="0" applyNumberFormat="1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center" wrapText="1"/>
    </xf>
    <xf numFmtId="167" fontId="18" fillId="4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/>
    </xf>
    <xf numFmtId="0" fontId="18" fillId="23" borderId="1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167" fontId="18" fillId="23" borderId="11" xfId="0" applyNumberFormat="1" applyFont="1" applyFill="1" applyBorder="1" applyAlignment="1">
      <alignment horizontal="center"/>
    </xf>
    <xf numFmtId="167" fontId="13" fillId="23" borderId="11" xfId="0" applyNumberFormat="1" applyFont="1" applyFill="1" applyBorder="1" applyAlignment="1">
      <alignment horizontal="center"/>
    </xf>
    <xf numFmtId="167" fontId="13" fillId="40" borderId="11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 wrapText="1"/>
    </xf>
    <xf numFmtId="2" fontId="18" fillId="40" borderId="11" xfId="0" applyNumberFormat="1" applyFont="1" applyFill="1" applyBorder="1" applyAlignment="1">
      <alignment horizontal="center"/>
    </xf>
    <xf numFmtId="2" fontId="13" fillId="40" borderId="11" xfId="0" applyNumberFormat="1" applyFont="1" applyFill="1" applyBorder="1" applyAlignment="1">
      <alignment horizontal="center"/>
    </xf>
    <xf numFmtId="49" fontId="24" fillId="41" borderId="11" xfId="0" applyNumberFormat="1" applyFont="1" applyFill="1" applyBorder="1" applyAlignment="1">
      <alignment horizontal="center" wrapText="1"/>
    </xf>
    <xf numFmtId="164" fontId="27" fillId="0" borderId="11" xfId="0" applyNumberFormat="1" applyFont="1" applyFill="1" applyBorder="1" applyAlignment="1">
      <alignment horizontal="center" wrapText="1"/>
    </xf>
    <xf numFmtId="164" fontId="24" fillId="0" borderId="11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 wrapText="1"/>
    </xf>
    <xf numFmtId="0" fontId="23" fillId="23" borderId="11" xfId="0" applyNumberFormat="1" applyFont="1" applyFill="1" applyBorder="1" applyAlignment="1">
      <alignment horizontal="center" wrapText="1"/>
    </xf>
    <xf numFmtId="0" fontId="23" fillId="40" borderId="11" xfId="0" applyNumberFormat="1" applyFont="1" applyFill="1" applyBorder="1" applyAlignment="1">
      <alignment horizontal="center" wrapText="1"/>
    </xf>
    <xf numFmtId="167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wrapText="1"/>
    </xf>
    <xf numFmtId="167" fontId="23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168" fontId="23" fillId="23" borderId="11" xfId="0" applyNumberFormat="1" applyFont="1" applyFill="1" applyBorder="1" applyAlignment="1">
      <alignment horizontal="center"/>
    </xf>
    <xf numFmtId="168" fontId="23" fillId="40" borderId="1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23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2" fillId="2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23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2" fillId="23" borderId="0" xfId="0" applyNumberFormat="1" applyFont="1" applyFill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170" fontId="19" fillId="0" borderId="16" xfId="0" applyNumberFormat="1" applyFont="1" applyFill="1" applyBorder="1" applyAlignment="1">
      <alignment horizontal="center"/>
    </xf>
    <xf numFmtId="2" fontId="19" fillId="23" borderId="16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1"/>
  <sheetViews>
    <sheetView tabSelected="1" zoomScale="110" zoomScaleNormal="110" zoomScalePageLayoutView="0" workbookViewId="0" topLeftCell="C1">
      <selection activeCell="P11" sqref="P11:P13"/>
    </sheetView>
  </sheetViews>
  <sheetFormatPr defaultColWidth="8.140625" defaultRowHeight="12.75"/>
  <cols>
    <col min="1" max="1" width="5.00390625" style="1" customWidth="1"/>
    <col min="2" max="2" width="42.140625" style="2" customWidth="1"/>
    <col min="3" max="4" width="7.140625" style="3" customWidth="1"/>
    <col min="5" max="5" width="13.00390625" style="4" customWidth="1"/>
    <col min="6" max="6" width="8.140625" style="3" customWidth="1"/>
    <col min="7" max="7" width="7.8515625" style="5" hidden="1" customWidth="1"/>
    <col min="8" max="8" width="15.7109375" style="6" bestFit="1" customWidth="1"/>
    <col min="9" max="9" width="15.28125" style="7" hidden="1" customWidth="1"/>
    <col min="10" max="10" width="17.140625" style="8" hidden="1" customWidth="1"/>
    <col min="11" max="11" width="12.28125" style="8" hidden="1" customWidth="1"/>
    <col min="12" max="12" width="12.421875" style="9" hidden="1" customWidth="1"/>
    <col min="13" max="13" width="11.7109375" style="10" hidden="1" customWidth="1"/>
    <col min="14" max="14" width="12.28125" style="8" hidden="1" customWidth="1"/>
    <col min="15" max="15" width="11.7109375" style="8" hidden="1" customWidth="1"/>
    <col min="16" max="16" width="15.28125" style="11" bestFit="1" customWidth="1"/>
    <col min="17" max="17" width="11.140625" style="11" customWidth="1"/>
    <col min="18" max="20" width="8.140625" style="1" customWidth="1"/>
    <col min="21" max="21" width="11.28125" style="1" customWidth="1"/>
    <col min="22" max="16384" width="8.140625" style="1" customWidth="1"/>
  </cols>
  <sheetData>
    <row r="1" spans="6:17" ht="13.5">
      <c r="F1"/>
      <c r="G1" s="12"/>
      <c r="H1" s="13"/>
      <c r="I1" s="12"/>
      <c r="J1" s="14"/>
      <c r="K1" s="14"/>
      <c r="L1" s="15"/>
      <c r="M1" s="16"/>
      <c r="N1" s="12"/>
      <c r="O1" s="12"/>
      <c r="P1" s="303" t="s">
        <v>0</v>
      </c>
      <c r="Q1" s="303"/>
    </row>
    <row r="2" spans="6:18" ht="56.25" customHeight="1">
      <c r="F2" s="17"/>
      <c r="G2" s="17"/>
      <c r="H2" s="304" t="s">
        <v>1</v>
      </c>
      <c r="I2" s="304"/>
      <c r="J2" s="304"/>
      <c r="K2" s="304"/>
      <c r="L2" s="304"/>
      <c r="M2" s="304"/>
      <c r="N2" s="304"/>
      <c r="O2" s="304"/>
      <c r="P2" s="304"/>
      <c r="Q2" s="304"/>
      <c r="R2" s="17"/>
    </row>
    <row r="3" spans="6:17" ht="15" customHeight="1">
      <c r="F3"/>
      <c r="G3" s="18"/>
      <c r="H3" s="305" t="s">
        <v>239</v>
      </c>
      <c r="I3" s="305"/>
      <c r="J3" s="305"/>
      <c r="K3" s="305"/>
      <c r="L3" s="305"/>
      <c r="M3" s="305"/>
      <c r="N3" s="305"/>
      <c r="O3" s="305"/>
      <c r="P3" s="305"/>
      <c r="Q3" s="305"/>
    </row>
    <row r="6" spans="2:17" s="19" customFormat="1" ht="15">
      <c r="B6" s="20"/>
      <c r="C6" s="21"/>
      <c r="D6" s="22"/>
      <c r="E6" s="23"/>
      <c r="F6" s="22"/>
      <c r="G6" s="24"/>
      <c r="H6" s="25"/>
      <c r="I6" s="26"/>
      <c r="J6" s="27"/>
      <c r="K6" s="27"/>
      <c r="L6" s="28"/>
      <c r="M6" s="29"/>
      <c r="N6" s="27"/>
      <c r="O6" s="27"/>
      <c r="P6" s="30"/>
      <c r="Q6" s="30"/>
    </row>
    <row r="7" spans="1:17" ht="41.25" customHeight="1">
      <c r="A7" s="301" t="s">
        <v>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ht="17.25" customHeight="1">
      <c r="Q8" s="31" t="s">
        <v>3</v>
      </c>
    </row>
    <row r="9" spans="1:17" s="42" customFormat="1" ht="126" customHeight="1">
      <c r="A9" s="32" t="s">
        <v>4</v>
      </c>
      <c r="B9" s="33" t="s">
        <v>5</v>
      </c>
      <c r="C9" s="34" t="s">
        <v>6</v>
      </c>
      <c r="D9" s="34" t="s">
        <v>7</v>
      </c>
      <c r="E9" s="35" t="s">
        <v>8</v>
      </c>
      <c r="F9" s="34" t="s">
        <v>9</v>
      </c>
      <c r="G9" s="36" t="s">
        <v>10</v>
      </c>
      <c r="H9" s="37" t="s">
        <v>11</v>
      </c>
      <c r="I9" s="36" t="s">
        <v>12</v>
      </c>
      <c r="J9" s="38" t="s">
        <v>13</v>
      </c>
      <c r="K9" s="38" t="s">
        <v>14</v>
      </c>
      <c r="L9" s="39" t="s">
        <v>15</v>
      </c>
      <c r="M9" s="40" t="s">
        <v>16</v>
      </c>
      <c r="N9" s="41" t="s">
        <v>17</v>
      </c>
      <c r="O9" s="38"/>
      <c r="P9" s="38" t="s">
        <v>18</v>
      </c>
      <c r="Q9" s="38" t="s">
        <v>19</v>
      </c>
    </row>
    <row r="10" spans="1:17" s="42" customFormat="1" ht="12.75">
      <c r="A10" s="43">
        <v>1</v>
      </c>
      <c r="B10" s="34">
        <v>2</v>
      </c>
      <c r="C10" s="34">
        <v>3</v>
      </c>
      <c r="D10" s="34">
        <v>4</v>
      </c>
      <c r="E10" s="35">
        <v>5</v>
      </c>
      <c r="F10" s="34">
        <v>6</v>
      </c>
      <c r="G10" s="44"/>
      <c r="H10" s="45">
        <v>7</v>
      </c>
      <c r="I10" s="45"/>
      <c r="J10" s="46"/>
      <c r="K10" s="46"/>
      <c r="L10" s="47"/>
      <c r="M10" s="48"/>
      <c r="N10" s="49"/>
      <c r="O10" s="46"/>
      <c r="P10" s="50">
        <v>8</v>
      </c>
      <c r="Q10" s="50">
        <v>9</v>
      </c>
    </row>
    <row r="11" spans="1:17" s="61" customFormat="1" ht="43.5" customHeight="1">
      <c r="A11" s="302">
        <v>703</v>
      </c>
      <c r="B11" s="52" t="s">
        <v>20</v>
      </c>
      <c r="C11" s="53"/>
      <c r="D11" s="53"/>
      <c r="E11" s="54"/>
      <c r="F11" s="53"/>
      <c r="G11" s="55" t="e">
        <f>G12+G52+G58+G85+G121+G126+G131+G148+G70</f>
        <v>#REF!</v>
      </c>
      <c r="H11" s="56">
        <f>H12+H52+H58+H70+H85+H121+H126+H131+H148</f>
        <v>53522.06384</v>
      </c>
      <c r="I11" s="55">
        <f>I12+I52+I58+I85+I121+I126+I131+I148+I70</f>
        <v>38141.7</v>
      </c>
      <c r="J11" s="56">
        <f aca="true" t="shared" si="0" ref="J11:O11">J12+J52+J58+J70+J85+J121+J126+J131+J148+J163</f>
        <v>3020.1076399999997</v>
      </c>
      <c r="K11" s="57">
        <f t="shared" si="0"/>
        <v>3123.78339</v>
      </c>
      <c r="L11" s="58">
        <f t="shared" si="0"/>
        <v>8605.72281</v>
      </c>
      <c r="M11" s="59">
        <f t="shared" si="0"/>
        <v>602.65</v>
      </c>
      <c r="N11" s="60">
        <f t="shared" si="0"/>
        <v>28.099999999999994</v>
      </c>
      <c r="O11" s="55">
        <f t="shared" si="0"/>
        <v>0</v>
      </c>
      <c r="P11" s="55">
        <f>P12+P52+P58+P85+P121+P126+P131+P148+P70</f>
        <v>36338.200000000004</v>
      </c>
      <c r="Q11" s="55">
        <f>Q12+Q52+Q58+Q85+Q121+Q126+Q131+Q148+Q70</f>
        <v>36929.4</v>
      </c>
    </row>
    <row r="12" spans="1:17" s="71" customFormat="1" ht="15">
      <c r="A12" s="302"/>
      <c r="B12" s="52" t="s">
        <v>21</v>
      </c>
      <c r="C12" s="62" t="s">
        <v>22</v>
      </c>
      <c r="D12" s="63"/>
      <c r="E12" s="64"/>
      <c r="F12" s="65"/>
      <c r="G12" s="66">
        <f>G13+G30+G34</f>
        <v>14652.699999999999</v>
      </c>
      <c r="H12" s="56">
        <f aca="true" t="shared" si="1" ref="H12:H48">SUM(I12:O12)</f>
        <v>18208.90581</v>
      </c>
      <c r="I12" s="67">
        <f aca="true" t="shared" si="2" ref="I12:O12">I13+I30+I34+I26</f>
        <v>15286.9</v>
      </c>
      <c r="J12" s="67">
        <f t="shared" si="2"/>
        <v>2002.63834</v>
      </c>
      <c r="K12" s="67">
        <f t="shared" si="2"/>
        <v>414.14839</v>
      </c>
      <c r="L12" s="68">
        <f t="shared" si="2"/>
        <v>706.5409999999999</v>
      </c>
      <c r="M12" s="69">
        <f t="shared" si="2"/>
        <v>129.44325</v>
      </c>
      <c r="N12" s="70">
        <f t="shared" si="2"/>
        <v>-330.76517</v>
      </c>
      <c r="O12" s="67">
        <f t="shared" si="2"/>
        <v>0</v>
      </c>
      <c r="P12" s="67">
        <f>P13+P30+P34</f>
        <v>15018.2</v>
      </c>
      <c r="Q12" s="67">
        <f>Q13+Q30+Q34</f>
        <v>15074.900000000001</v>
      </c>
    </row>
    <row r="13" spans="1:17" s="77" customFormat="1" ht="69">
      <c r="A13" s="302"/>
      <c r="B13" s="72" t="s">
        <v>23</v>
      </c>
      <c r="C13" s="73" t="s">
        <v>22</v>
      </c>
      <c r="D13" s="73" t="s">
        <v>24</v>
      </c>
      <c r="E13" s="64"/>
      <c r="F13" s="64"/>
      <c r="G13" s="74">
        <f>G14+G21</f>
        <v>3339.2999999999997</v>
      </c>
      <c r="H13" s="56">
        <f t="shared" si="1"/>
        <v>3503.7444800000003</v>
      </c>
      <c r="I13" s="74">
        <f>I14+I21</f>
        <v>3435.8</v>
      </c>
      <c r="J13" s="74">
        <f aca="true" t="shared" si="3" ref="J13:O13">J21+J14+J17</f>
        <v>0</v>
      </c>
      <c r="K13" s="74">
        <f t="shared" si="3"/>
        <v>0</v>
      </c>
      <c r="L13" s="58">
        <f t="shared" si="3"/>
        <v>66.4</v>
      </c>
      <c r="M13" s="75">
        <f t="shared" si="3"/>
        <v>1.54448</v>
      </c>
      <c r="N13" s="76">
        <f t="shared" si="3"/>
        <v>0</v>
      </c>
      <c r="O13" s="74">
        <f t="shared" si="3"/>
        <v>0</v>
      </c>
      <c r="P13" s="74">
        <f>P14+P21</f>
        <v>3440.3</v>
      </c>
      <c r="Q13" s="55">
        <f>Q14+Q21</f>
        <v>3445</v>
      </c>
    </row>
    <row r="14" spans="1:17" s="77" customFormat="1" ht="54.75">
      <c r="A14" s="302"/>
      <c r="B14" s="78" t="s">
        <v>25</v>
      </c>
      <c r="C14" s="79" t="s">
        <v>22</v>
      </c>
      <c r="D14" s="79" t="s">
        <v>24</v>
      </c>
      <c r="E14" s="79" t="s">
        <v>26</v>
      </c>
      <c r="F14" s="54"/>
      <c r="G14" s="80">
        <f>G15</f>
        <v>243.8</v>
      </c>
      <c r="H14" s="81">
        <f t="shared" si="1"/>
        <v>247.4</v>
      </c>
      <c r="I14" s="80">
        <f aca="true" t="shared" si="4" ref="I14:Q14">I15</f>
        <v>247.4</v>
      </c>
      <c r="J14" s="80">
        <f t="shared" si="4"/>
        <v>0</v>
      </c>
      <c r="K14" s="80">
        <f t="shared" si="4"/>
        <v>0</v>
      </c>
      <c r="L14" s="82">
        <f t="shared" si="4"/>
        <v>0</v>
      </c>
      <c r="M14" s="83">
        <f t="shared" si="4"/>
        <v>0</v>
      </c>
      <c r="N14" s="84">
        <f t="shared" si="4"/>
        <v>0</v>
      </c>
      <c r="O14" s="80">
        <f t="shared" si="4"/>
        <v>0</v>
      </c>
      <c r="P14" s="80">
        <f t="shared" si="4"/>
        <v>251.9</v>
      </c>
      <c r="Q14" s="80">
        <f t="shared" si="4"/>
        <v>256.6</v>
      </c>
    </row>
    <row r="15" spans="1:17" s="77" customFormat="1" ht="69">
      <c r="A15" s="302"/>
      <c r="B15" s="78" t="s">
        <v>27</v>
      </c>
      <c r="C15" s="79" t="s">
        <v>22</v>
      </c>
      <c r="D15" s="79" t="s">
        <v>24</v>
      </c>
      <c r="E15" s="79" t="s">
        <v>28</v>
      </c>
      <c r="F15" s="54"/>
      <c r="G15" s="85">
        <f>G16</f>
        <v>243.8</v>
      </c>
      <c r="H15" s="81">
        <f t="shared" si="1"/>
        <v>247.4</v>
      </c>
      <c r="I15" s="85">
        <f>I16+I20</f>
        <v>247.4</v>
      </c>
      <c r="J15" s="85">
        <f>J16+J20</f>
        <v>0</v>
      </c>
      <c r="K15" s="85">
        <f>K16+K20</f>
        <v>0</v>
      </c>
      <c r="L15" s="82">
        <f>L16</f>
        <v>0</v>
      </c>
      <c r="M15" s="83">
        <f>M16</f>
        <v>0</v>
      </c>
      <c r="N15" s="84">
        <f>N16</f>
        <v>0</v>
      </c>
      <c r="O15" s="80">
        <f>O16</f>
        <v>0</v>
      </c>
      <c r="P15" s="85">
        <f>P16+P20</f>
        <v>251.9</v>
      </c>
      <c r="Q15" s="85">
        <f>Q16+Q20</f>
        <v>256.6</v>
      </c>
    </row>
    <row r="16" spans="1:17" s="77" customFormat="1" ht="54.75">
      <c r="A16" s="302"/>
      <c r="B16" s="78" t="s">
        <v>29</v>
      </c>
      <c r="C16" s="79" t="s">
        <v>22</v>
      </c>
      <c r="D16" s="79" t="s">
        <v>24</v>
      </c>
      <c r="E16" s="79" t="s">
        <v>30</v>
      </c>
      <c r="F16" s="79" t="s">
        <v>31</v>
      </c>
      <c r="G16" s="80">
        <v>243.8</v>
      </c>
      <c r="H16" s="86">
        <f t="shared" si="1"/>
        <v>228.92600000000002</v>
      </c>
      <c r="I16" s="80">
        <v>247.4</v>
      </c>
      <c r="J16" s="87">
        <v>0</v>
      </c>
      <c r="K16" s="87">
        <v>-18.474</v>
      </c>
      <c r="L16" s="88">
        <v>0</v>
      </c>
      <c r="M16" s="89"/>
      <c r="N16" s="90"/>
      <c r="O16" s="87">
        <v>0</v>
      </c>
      <c r="P16" s="91">
        <v>251.9</v>
      </c>
      <c r="Q16" s="91">
        <v>256.6</v>
      </c>
    </row>
    <row r="17" spans="1:17" s="77" customFormat="1" ht="96" hidden="1">
      <c r="A17" s="302"/>
      <c r="B17" s="92" t="s">
        <v>32</v>
      </c>
      <c r="C17" s="54" t="s">
        <v>22</v>
      </c>
      <c r="D17" s="93" t="s">
        <v>24</v>
      </c>
      <c r="E17" s="54" t="s">
        <v>33</v>
      </c>
      <c r="F17" s="94"/>
      <c r="G17" s="95">
        <f>SUM(H17:M17)</f>
        <v>0</v>
      </c>
      <c r="H17" s="96">
        <f t="shared" si="1"/>
        <v>0</v>
      </c>
      <c r="I17" s="97">
        <f>SUM(J17:P17)</f>
        <v>0</v>
      </c>
      <c r="J17" s="97">
        <f aca="true" t="shared" si="5" ref="J17:Q18">J18</f>
        <v>0</v>
      </c>
      <c r="K17" s="97">
        <f t="shared" si="5"/>
        <v>0</v>
      </c>
      <c r="L17" s="98">
        <f t="shared" si="5"/>
        <v>0</v>
      </c>
      <c r="M17" s="99">
        <f t="shared" si="5"/>
        <v>0</v>
      </c>
      <c r="N17" s="100">
        <f t="shared" si="5"/>
        <v>0</v>
      </c>
      <c r="O17" s="97">
        <f t="shared" si="5"/>
        <v>0</v>
      </c>
      <c r="P17" s="97">
        <f t="shared" si="5"/>
        <v>0</v>
      </c>
      <c r="Q17" s="97">
        <f t="shared" si="5"/>
        <v>0</v>
      </c>
    </row>
    <row r="18" spans="1:17" s="77" customFormat="1" ht="54.75" hidden="1">
      <c r="A18" s="302"/>
      <c r="B18" s="92" t="s">
        <v>34</v>
      </c>
      <c r="C18" s="54" t="s">
        <v>22</v>
      </c>
      <c r="D18" s="93" t="s">
        <v>24</v>
      </c>
      <c r="E18" s="54" t="s">
        <v>35</v>
      </c>
      <c r="F18" s="94"/>
      <c r="G18" s="95">
        <f>SUM(H18:M18)</f>
        <v>0</v>
      </c>
      <c r="H18" s="96">
        <f t="shared" si="1"/>
        <v>0</v>
      </c>
      <c r="I18" s="97">
        <f>SUM(J18:P18)</f>
        <v>0</v>
      </c>
      <c r="J18" s="97">
        <f t="shared" si="5"/>
        <v>0</v>
      </c>
      <c r="K18" s="97">
        <f t="shared" si="5"/>
        <v>0</v>
      </c>
      <c r="L18" s="98">
        <f t="shared" si="5"/>
        <v>0</v>
      </c>
      <c r="M18" s="99">
        <f t="shared" si="5"/>
        <v>0</v>
      </c>
      <c r="N18" s="100">
        <f t="shared" si="5"/>
        <v>0</v>
      </c>
      <c r="O18" s="97">
        <f t="shared" si="5"/>
        <v>0</v>
      </c>
      <c r="P18" s="97">
        <f t="shared" si="5"/>
        <v>0</v>
      </c>
      <c r="Q18" s="97">
        <f t="shared" si="5"/>
        <v>0</v>
      </c>
    </row>
    <row r="19" spans="1:17" s="77" customFormat="1" ht="54.75" hidden="1">
      <c r="A19" s="302"/>
      <c r="B19" s="92" t="s">
        <v>36</v>
      </c>
      <c r="C19" s="54" t="s">
        <v>22</v>
      </c>
      <c r="D19" s="93" t="s">
        <v>24</v>
      </c>
      <c r="E19" s="54" t="s">
        <v>37</v>
      </c>
      <c r="F19" s="94">
        <v>200</v>
      </c>
      <c r="G19" s="95">
        <f>SUM(H19:M19)</f>
        <v>0</v>
      </c>
      <c r="H19" s="96">
        <f t="shared" si="1"/>
        <v>0</v>
      </c>
      <c r="I19" s="97">
        <f>SUM(J19:P19)</f>
        <v>0</v>
      </c>
      <c r="J19" s="101"/>
      <c r="K19" s="101"/>
      <c r="L19" s="102"/>
      <c r="M19" s="103"/>
      <c r="N19" s="104"/>
      <c r="O19" s="101"/>
      <c r="P19" s="105"/>
      <c r="Q19" s="105"/>
    </row>
    <row r="20" spans="1:17" s="77" customFormat="1" ht="41.25">
      <c r="A20" s="302"/>
      <c r="B20" s="78" t="s">
        <v>38</v>
      </c>
      <c r="C20" s="79" t="s">
        <v>22</v>
      </c>
      <c r="D20" s="79" t="s">
        <v>24</v>
      </c>
      <c r="E20" s="79" t="s">
        <v>30</v>
      </c>
      <c r="F20" s="79" t="s">
        <v>39</v>
      </c>
      <c r="G20" s="95"/>
      <c r="H20" s="86">
        <f t="shared" si="1"/>
        <v>18.474</v>
      </c>
      <c r="I20" s="106">
        <v>0</v>
      </c>
      <c r="J20" s="107"/>
      <c r="K20" s="107">
        <v>18.474</v>
      </c>
      <c r="L20" s="108">
        <v>0</v>
      </c>
      <c r="M20" s="109"/>
      <c r="N20" s="110"/>
      <c r="O20" s="107"/>
      <c r="P20" s="111">
        <v>0</v>
      </c>
      <c r="Q20" s="111">
        <v>0</v>
      </c>
    </row>
    <row r="21" spans="1:17" s="113" customFormat="1" ht="13.5">
      <c r="A21" s="302"/>
      <c r="B21" s="78" t="s">
        <v>40</v>
      </c>
      <c r="C21" s="79" t="s">
        <v>22</v>
      </c>
      <c r="D21" s="79" t="s">
        <v>24</v>
      </c>
      <c r="E21" s="79" t="s">
        <v>41</v>
      </c>
      <c r="F21" s="54"/>
      <c r="G21" s="80">
        <f>G22</f>
        <v>3095.4999999999995</v>
      </c>
      <c r="H21" s="112">
        <f t="shared" si="1"/>
        <v>3256.34448</v>
      </c>
      <c r="I21" s="80">
        <f aca="true" t="shared" si="6" ref="I21:Q21">I22</f>
        <v>3188.4</v>
      </c>
      <c r="J21" s="80">
        <f t="shared" si="6"/>
        <v>0</v>
      </c>
      <c r="K21" s="80">
        <f t="shared" si="6"/>
        <v>0</v>
      </c>
      <c r="L21" s="82">
        <f t="shared" si="6"/>
        <v>66.4</v>
      </c>
      <c r="M21" s="83">
        <f t="shared" si="6"/>
        <v>1.54448</v>
      </c>
      <c r="N21" s="84">
        <f t="shared" si="6"/>
        <v>0</v>
      </c>
      <c r="O21" s="80">
        <f t="shared" si="6"/>
        <v>0</v>
      </c>
      <c r="P21" s="80">
        <f t="shared" si="6"/>
        <v>3188.4</v>
      </c>
      <c r="Q21" s="80">
        <f t="shared" si="6"/>
        <v>3188.4</v>
      </c>
    </row>
    <row r="22" spans="1:17" s="113" customFormat="1" ht="27">
      <c r="A22" s="302"/>
      <c r="B22" s="78" t="s">
        <v>42</v>
      </c>
      <c r="C22" s="79" t="s">
        <v>22</v>
      </c>
      <c r="D22" s="79" t="s">
        <v>24</v>
      </c>
      <c r="E22" s="79" t="s">
        <v>43</v>
      </c>
      <c r="F22" s="54"/>
      <c r="G22" s="80">
        <f>G23+G24+G25</f>
        <v>3095.4999999999995</v>
      </c>
      <c r="H22" s="112">
        <f t="shared" si="1"/>
        <v>3256.34448</v>
      </c>
      <c r="I22" s="80">
        <f>I23+I24+I25</f>
        <v>3188.4</v>
      </c>
      <c r="J22" s="80">
        <f aca="true" t="shared" si="7" ref="J22:O22">SUM(J23:J25)</f>
        <v>0</v>
      </c>
      <c r="K22" s="80">
        <f t="shared" si="7"/>
        <v>0</v>
      </c>
      <c r="L22" s="82">
        <f t="shared" si="7"/>
        <v>66.4</v>
      </c>
      <c r="M22" s="83">
        <f t="shared" si="7"/>
        <v>1.54448</v>
      </c>
      <c r="N22" s="84">
        <f t="shared" si="7"/>
        <v>0</v>
      </c>
      <c r="O22" s="80">
        <f t="shared" si="7"/>
        <v>0</v>
      </c>
      <c r="P22" s="80">
        <f>P23+P24+P25</f>
        <v>3188.4</v>
      </c>
      <c r="Q22" s="80">
        <f>Q23+Q24+Q25</f>
        <v>3188.4</v>
      </c>
    </row>
    <row r="23" spans="1:17" s="113" customFormat="1" ht="110.25">
      <c r="A23" s="302"/>
      <c r="B23" s="78" t="s">
        <v>44</v>
      </c>
      <c r="C23" s="79" t="s">
        <v>22</v>
      </c>
      <c r="D23" s="79" t="s">
        <v>24</v>
      </c>
      <c r="E23" s="79" t="s">
        <v>45</v>
      </c>
      <c r="F23" s="79" t="s">
        <v>46</v>
      </c>
      <c r="G23" s="80">
        <v>967.3</v>
      </c>
      <c r="H23" s="81">
        <f t="shared" si="1"/>
        <v>1017</v>
      </c>
      <c r="I23" s="80">
        <v>996.3</v>
      </c>
      <c r="J23" s="80"/>
      <c r="K23" s="80"/>
      <c r="L23" s="82">
        <v>20.7</v>
      </c>
      <c r="M23" s="83"/>
      <c r="N23" s="84"/>
      <c r="O23" s="80"/>
      <c r="P23" s="80">
        <v>996.3</v>
      </c>
      <c r="Q23" s="80">
        <v>996.3</v>
      </c>
    </row>
    <row r="24" spans="1:17" s="113" customFormat="1" ht="110.25">
      <c r="A24" s="302"/>
      <c r="B24" s="114" t="s">
        <v>47</v>
      </c>
      <c r="C24" s="115" t="s">
        <v>22</v>
      </c>
      <c r="D24" s="115" t="s">
        <v>24</v>
      </c>
      <c r="E24" s="79" t="s">
        <v>48</v>
      </c>
      <c r="F24" s="115" t="s">
        <v>46</v>
      </c>
      <c r="G24" s="80">
        <v>1163.6</v>
      </c>
      <c r="H24" s="112">
        <f t="shared" si="1"/>
        <v>1225.04448</v>
      </c>
      <c r="I24" s="80">
        <v>1198.5</v>
      </c>
      <c r="J24" s="80"/>
      <c r="K24" s="80"/>
      <c r="L24" s="82">
        <v>25</v>
      </c>
      <c r="M24" s="83">
        <v>1.54448</v>
      </c>
      <c r="N24" s="84"/>
      <c r="O24" s="80"/>
      <c r="P24" s="80">
        <v>1198.5</v>
      </c>
      <c r="Q24" s="80">
        <v>1198.5</v>
      </c>
    </row>
    <row r="25" spans="1:17" s="113" customFormat="1" ht="96">
      <c r="A25" s="302"/>
      <c r="B25" s="78" t="s">
        <v>49</v>
      </c>
      <c r="C25" s="79" t="s">
        <v>22</v>
      </c>
      <c r="D25" s="79" t="s">
        <v>24</v>
      </c>
      <c r="E25" s="79" t="s">
        <v>50</v>
      </c>
      <c r="F25" s="79" t="s">
        <v>51</v>
      </c>
      <c r="G25" s="80">
        <v>964.6</v>
      </c>
      <c r="H25" s="81">
        <f t="shared" si="1"/>
        <v>1014.3000000000001</v>
      </c>
      <c r="I25" s="80">
        <v>993.6</v>
      </c>
      <c r="J25" s="87">
        <v>0</v>
      </c>
      <c r="K25" s="87">
        <v>0</v>
      </c>
      <c r="L25" s="88">
        <v>20.7</v>
      </c>
      <c r="M25" s="89"/>
      <c r="N25" s="90"/>
      <c r="O25" s="87"/>
      <c r="P25" s="80">
        <v>993.6</v>
      </c>
      <c r="Q25" s="80">
        <v>993.6</v>
      </c>
    </row>
    <row r="26" spans="1:17" s="113" customFormat="1" ht="30.75" customHeight="1">
      <c r="A26" s="302"/>
      <c r="B26" s="116" t="s">
        <v>52</v>
      </c>
      <c r="C26" s="117" t="s">
        <v>22</v>
      </c>
      <c r="D26" s="117" t="s">
        <v>53</v>
      </c>
      <c r="E26" s="79"/>
      <c r="F26" s="79"/>
      <c r="G26" s="80"/>
      <c r="H26" s="58">
        <f t="shared" si="1"/>
        <v>207.44</v>
      </c>
      <c r="I26" s="74">
        <f aca="true" t="shared" si="8" ref="I26:Q26">I27</f>
        <v>0</v>
      </c>
      <c r="J26" s="74">
        <f t="shared" si="8"/>
        <v>0</v>
      </c>
      <c r="K26" s="74">
        <f t="shared" si="8"/>
        <v>0</v>
      </c>
      <c r="L26" s="58">
        <f t="shared" si="8"/>
        <v>207.44</v>
      </c>
      <c r="M26" s="75">
        <f t="shared" si="8"/>
        <v>0</v>
      </c>
      <c r="N26" s="76">
        <f t="shared" si="8"/>
        <v>0</v>
      </c>
      <c r="O26" s="74">
        <f t="shared" si="8"/>
        <v>0</v>
      </c>
      <c r="P26" s="55">
        <f t="shared" si="8"/>
        <v>0</v>
      </c>
      <c r="Q26" s="55">
        <f t="shared" si="8"/>
        <v>0</v>
      </c>
    </row>
    <row r="27" spans="1:17" s="113" customFormat="1" ht="18" customHeight="1">
      <c r="A27" s="302"/>
      <c r="B27" s="118" t="s">
        <v>40</v>
      </c>
      <c r="C27" s="119" t="s">
        <v>22</v>
      </c>
      <c r="D27" s="119" t="s">
        <v>53</v>
      </c>
      <c r="E27" s="79" t="s">
        <v>41</v>
      </c>
      <c r="F27" s="79"/>
      <c r="G27" s="80"/>
      <c r="H27" s="82">
        <f t="shared" si="1"/>
        <v>207.44</v>
      </c>
      <c r="I27" s="80">
        <f>I28</f>
        <v>0</v>
      </c>
      <c r="J27" s="80">
        <f>J28</f>
        <v>0</v>
      </c>
      <c r="K27" s="87"/>
      <c r="L27" s="88">
        <f>L28</f>
        <v>207.44</v>
      </c>
      <c r="M27" s="89"/>
      <c r="N27" s="90"/>
      <c r="O27" s="87"/>
      <c r="P27" s="81">
        <v>0</v>
      </c>
      <c r="Q27" s="81">
        <v>0</v>
      </c>
    </row>
    <row r="28" spans="1:17" s="113" customFormat="1" ht="30" customHeight="1">
      <c r="A28" s="302"/>
      <c r="B28" s="120" t="s">
        <v>42</v>
      </c>
      <c r="C28" s="119" t="s">
        <v>22</v>
      </c>
      <c r="D28" s="119" t="s">
        <v>53</v>
      </c>
      <c r="E28" s="79" t="s">
        <v>43</v>
      </c>
      <c r="F28" s="79"/>
      <c r="G28" s="80"/>
      <c r="H28" s="82">
        <f t="shared" si="1"/>
        <v>207.44</v>
      </c>
      <c r="I28" s="80">
        <f>I29</f>
        <v>0</v>
      </c>
      <c r="J28" s="80">
        <f>J29</f>
        <v>0</v>
      </c>
      <c r="K28" s="87"/>
      <c r="L28" s="88">
        <f>L29</f>
        <v>207.44</v>
      </c>
      <c r="M28" s="89"/>
      <c r="N28" s="90"/>
      <c r="O28" s="87"/>
      <c r="P28" s="81">
        <v>0</v>
      </c>
      <c r="Q28" s="81">
        <v>0</v>
      </c>
    </row>
    <row r="29" spans="1:17" s="113" customFormat="1" ht="54.75">
      <c r="A29" s="302"/>
      <c r="B29" s="121" t="s">
        <v>54</v>
      </c>
      <c r="C29" s="119" t="s">
        <v>22</v>
      </c>
      <c r="D29" s="119" t="s">
        <v>53</v>
      </c>
      <c r="E29" s="79" t="s">
        <v>55</v>
      </c>
      <c r="F29" s="79" t="s">
        <v>31</v>
      </c>
      <c r="G29" s="80"/>
      <c r="H29" s="82">
        <f t="shared" si="1"/>
        <v>207.44</v>
      </c>
      <c r="I29" s="80">
        <v>0</v>
      </c>
      <c r="J29" s="87">
        <v>0</v>
      </c>
      <c r="K29" s="87">
        <v>0</v>
      </c>
      <c r="L29" s="88">
        <v>207.44</v>
      </c>
      <c r="M29" s="89">
        <v>0</v>
      </c>
      <c r="N29" s="90">
        <v>0</v>
      </c>
      <c r="O29" s="87">
        <v>0</v>
      </c>
      <c r="P29" s="81">
        <v>0</v>
      </c>
      <c r="Q29" s="81">
        <v>0</v>
      </c>
    </row>
    <row r="30" spans="1:17" s="77" customFormat="1" ht="13.5">
      <c r="A30" s="302"/>
      <c r="B30" s="72" t="s">
        <v>56</v>
      </c>
      <c r="C30" s="73" t="s">
        <v>22</v>
      </c>
      <c r="D30" s="73" t="s">
        <v>57</v>
      </c>
      <c r="E30" s="73"/>
      <c r="F30" s="73"/>
      <c r="G30" s="74">
        <f>G31</f>
        <v>68.6</v>
      </c>
      <c r="H30" s="55">
        <f t="shared" si="1"/>
        <v>0</v>
      </c>
      <c r="I30" s="74">
        <f aca="true" t="shared" si="9" ref="I30:Q32">I31</f>
        <v>68.6</v>
      </c>
      <c r="J30" s="74">
        <f t="shared" si="9"/>
        <v>0</v>
      </c>
      <c r="K30" s="74">
        <f t="shared" si="9"/>
        <v>0</v>
      </c>
      <c r="L30" s="58">
        <f t="shared" si="9"/>
        <v>0</v>
      </c>
      <c r="M30" s="75">
        <f t="shared" si="9"/>
        <v>0</v>
      </c>
      <c r="N30" s="76">
        <f t="shared" si="9"/>
        <v>-68.6</v>
      </c>
      <c r="O30" s="74">
        <f t="shared" si="9"/>
        <v>0</v>
      </c>
      <c r="P30" s="55">
        <f t="shared" si="9"/>
        <v>68.6</v>
      </c>
      <c r="Q30" s="55">
        <f t="shared" si="9"/>
        <v>68.6</v>
      </c>
    </row>
    <row r="31" spans="1:17" s="113" customFormat="1" ht="13.5">
      <c r="A31" s="302"/>
      <c r="B31" s="78" t="s">
        <v>40</v>
      </c>
      <c r="C31" s="79" t="s">
        <v>22</v>
      </c>
      <c r="D31" s="79" t="s">
        <v>57</v>
      </c>
      <c r="E31" s="79" t="s">
        <v>41</v>
      </c>
      <c r="F31" s="79"/>
      <c r="G31" s="80">
        <f>G32</f>
        <v>68.6</v>
      </c>
      <c r="H31" s="81">
        <f t="shared" si="1"/>
        <v>0</v>
      </c>
      <c r="I31" s="80">
        <f t="shared" si="9"/>
        <v>68.6</v>
      </c>
      <c r="J31" s="80">
        <f t="shared" si="9"/>
        <v>0</v>
      </c>
      <c r="K31" s="80">
        <f t="shared" si="9"/>
        <v>0</v>
      </c>
      <c r="L31" s="82">
        <f t="shared" si="9"/>
        <v>0</v>
      </c>
      <c r="M31" s="83">
        <f t="shared" si="9"/>
        <v>0</v>
      </c>
      <c r="N31" s="84">
        <f t="shared" si="9"/>
        <v>-68.6</v>
      </c>
      <c r="O31" s="80">
        <f t="shared" si="9"/>
        <v>0</v>
      </c>
      <c r="P31" s="81">
        <f t="shared" si="9"/>
        <v>68.6</v>
      </c>
      <c r="Q31" s="81">
        <f t="shared" si="9"/>
        <v>68.6</v>
      </c>
    </row>
    <row r="32" spans="1:17" s="113" customFormat="1" ht="27">
      <c r="A32" s="302"/>
      <c r="B32" s="78" t="s">
        <v>42</v>
      </c>
      <c r="C32" s="79" t="s">
        <v>22</v>
      </c>
      <c r="D32" s="79" t="s">
        <v>57</v>
      </c>
      <c r="E32" s="79" t="s">
        <v>43</v>
      </c>
      <c r="F32" s="79"/>
      <c r="G32" s="80">
        <f>G33</f>
        <v>68.6</v>
      </c>
      <c r="H32" s="81">
        <f t="shared" si="1"/>
        <v>0</v>
      </c>
      <c r="I32" s="80">
        <f t="shared" si="9"/>
        <v>68.6</v>
      </c>
      <c r="J32" s="80">
        <f t="shared" si="9"/>
        <v>0</v>
      </c>
      <c r="K32" s="80">
        <f t="shared" si="9"/>
        <v>0</v>
      </c>
      <c r="L32" s="82">
        <f t="shared" si="9"/>
        <v>0</v>
      </c>
      <c r="M32" s="83">
        <f t="shared" si="9"/>
        <v>0</v>
      </c>
      <c r="N32" s="84">
        <f t="shared" si="9"/>
        <v>-68.6</v>
      </c>
      <c r="O32" s="80">
        <f t="shared" si="9"/>
        <v>0</v>
      </c>
      <c r="P32" s="81">
        <f t="shared" si="9"/>
        <v>68.6</v>
      </c>
      <c r="Q32" s="81">
        <f t="shared" si="9"/>
        <v>68.6</v>
      </c>
    </row>
    <row r="33" spans="1:17" s="113" customFormat="1" ht="41.25" customHeight="1">
      <c r="A33" s="302"/>
      <c r="B33" s="114" t="s">
        <v>58</v>
      </c>
      <c r="C33" s="79" t="s">
        <v>22</v>
      </c>
      <c r="D33" s="79" t="s">
        <v>57</v>
      </c>
      <c r="E33" s="79" t="s">
        <v>59</v>
      </c>
      <c r="F33" s="79" t="s">
        <v>39</v>
      </c>
      <c r="G33" s="80">
        <v>68.6</v>
      </c>
      <c r="H33" s="81">
        <f t="shared" si="1"/>
        <v>0</v>
      </c>
      <c r="I33" s="80">
        <v>68.6</v>
      </c>
      <c r="J33" s="80">
        <v>0</v>
      </c>
      <c r="K33" s="80">
        <v>0</v>
      </c>
      <c r="L33" s="82">
        <v>0</v>
      </c>
      <c r="M33" s="83"/>
      <c r="N33" s="84">
        <v>-68.6</v>
      </c>
      <c r="O33" s="80"/>
      <c r="P33" s="91">
        <v>68.6</v>
      </c>
      <c r="Q33" s="91">
        <v>68.6</v>
      </c>
    </row>
    <row r="34" spans="1:17" s="77" customFormat="1" ht="21" customHeight="1">
      <c r="A34" s="302"/>
      <c r="B34" s="122" t="s">
        <v>60</v>
      </c>
      <c r="C34" s="123" t="s">
        <v>22</v>
      </c>
      <c r="D34" s="123" t="s">
        <v>61</v>
      </c>
      <c r="E34" s="73"/>
      <c r="F34" s="123"/>
      <c r="G34" s="74">
        <f>G35+G40</f>
        <v>11244.8</v>
      </c>
      <c r="H34" s="56">
        <f t="shared" si="1"/>
        <v>14497.72133</v>
      </c>
      <c r="I34" s="55">
        <f>SUM(I35,I40,I47)</f>
        <v>11782.5</v>
      </c>
      <c r="J34" s="56">
        <f>SUM(J35,J40,)</f>
        <v>2002.63834</v>
      </c>
      <c r="K34" s="56">
        <f>K35+K40+K49</f>
        <v>414.14839</v>
      </c>
      <c r="L34" s="124">
        <f>L35+L40+L49</f>
        <v>432.701</v>
      </c>
      <c r="M34" s="59">
        <f>M35+M40+M49</f>
        <v>127.89877000000001</v>
      </c>
      <c r="N34" s="60">
        <f>N35+N40+N49</f>
        <v>-262.16517</v>
      </c>
      <c r="O34" s="55">
        <f>O35+O40+O49</f>
        <v>0</v>
      </c>
      <c r="P34" s="74">
        <f>P35+P40</f>
        <v>11509.300000000001</v>
      </c>
      <c r="Q34" s="74">
        <f>Q35+Q40</f>
        <v>11561.300000000001</v>
      </c>
    </row>
    <row r="35" spans="1:17" s="113" customFormat="1" ht="54.75">
      <c r="A35" s="302"/>
      <c r="B35" s="114" t="s">
        <v>62</v>
      </c>
      <c r="C35" s="115" t="s">
        <v>22</v>
      </c>
      <c r="D35" s="115" t="s">
        <v>61</v>
      </c>
      <c r="E35" s="79" t="s">
        <v>26</v>
      </c>
      <c r="F35" s="115"/>
      <c r="G35" s="81">
        <f>G38</f>
        <v>250</v>
      </c>
      <c r="H35" s="81">
        <f t="shared" si="1"/>
        <v>250</v>
      </c>
      <c r="I35" s="81">
        <f aca="true" t="shared" si="10" ref="I35:Q35">I38</f>
        <v>100</v>
      </c>
      <c r="J35" s="81">
        <f t="shared" si="10"/>
        <v>150</v>
      </c>
      <c r="K35" s="81">
        <f t="shared" si="10"/>
        <v>0</v>
      </c>
      <c r="L35" s="82">
        <f t="shared" si="10"/>
        <v>0</v>
      </c>
      <c r="M35" s="125">
        <f t="shared" si="10"/>
        <v>0</v>
      </c>
      <c r="N35" s="126">
        <f t="shared" si="10"/>
        <v>0</v>
      </c>
      <c r="O35" s="81">
        <f t="shared" si="10"/>
        <v>0</v>
      </c>
      <c r="P35" s="81">
        <f t="shared" si="10"/>
        <v>50</v>
      </c>
      <c r="Q35" s="81">
        <f t="shared" si="10"/>
        <v>50</v>
      </c>
    </row>
    <row r="36" spans="1:17" s="113" customFormat="1" ht="69" hidden="1">
      <c r="A36" s="302"/>
      <c r="B36" s="114" t="s">
        <v>27</v>
      </c>
      <c r="C36" s="115" t="s">
        <v>22</v>
      </c>
      <c r="D36" s="115" t="s">
        <v>61</v>
      </c>
      <c r="E36" s="79" t="s">
        <v>28</v>
      </c>
      <c r="F36" s="115"/>
      <c r="G36" s="81">
        <f>SUM(H36:M36)</f>
        <v>0</v>
      </c>
      <c r="H36" s="81">
        <f t="shared" si="1"/>
        <v>0</v>
      </c>
      <c r="I36" s="81">
        <f>SUM(J36:P36)</f>
        <v>0</v>
      </c>
      <c r="J36" s="81">
        <f aca="true" t="shared" si="11" ref="J36:Q36">J37</f>
        <v>0</v>
      </c>
      <c r="K36" s="81">
        <f t="shared" si="11"/>
        <v>0</v>
      </c>
      <c r="L36" s="82">
        <f t="shared" si="11"/>
        <v>0</v>
      </c>
      <c r="M36" s="125">
        <f t="shared" si="11"/>
        <v>0</v>
      </c>
      <c r="N36" s="126">
        <f t="shared" si="11"/>
        <v>0</v>
      </c>
      <c r="O36" s="81">
        <f t="shared" si="11"/>
        <v>0</v>
      </c>
      <c r="P36" s="81">
        <f t="shared" si="11"/>
        <v>0</v>
      </c>
      <c r="Q36" s="81">
        <f t="shared" si="11"/>
        <v>0</v>
      </c>
    </row>
    <row r="37" spans="1:17" s="113" customFormat="1" ht="54.75" hidden="1">
      <c r="A37" s="302"/>
      <c r="B37" s="114" t="s">
        <v>63</v>
      </c>
      <c r="C37" s="115" t="s">
        <v>22</v>
      </c>
      <c r="D37" s="115" t="s">
        <v>61</v>
      </c>
      <c r="E37" s="79" t="s">
        <v>30</v>
      </c>
      <c r="F37" s="115" t="s">
        <v>31</v>
      </c>
      <c r="G37" s="81">
        <f>SUM(H37:M37)</f>
        <v>0</v>
      </c>
      <c r="H37" s="81">
        <f t="shared" si="1"/>
        <v>0</v>
      </c>
      <c r="I37" s="81">
        <f>SUM(J37:P37)</f>
        <v>0</v>
      </c>
      <c r="J37" s="87">
        <v>0</v>
      </c>
      <c r="K37" s="87">
        <v>0</v>
      </c>
      <c r="L37" s="88">
        <v>0</v>
      </c>
      <c r="M37" s="89"/>
      <c r="N37" s="90"/>
      <c r="O37" s="87"/>
      <c r="P37" s="91">
        <v>0</v>
      </c>
      <c r="Q37" s="91">
        <v>0</v>
      </c>
    </row>
    <row r="38" spans="1:17" s="113" customFormat="1" ht="41.25">
      <c r="A38" s="302"/>
      <c r="B38" s="78" t="s">
        <v>64</v>
      </c>
      <c r="C38" s="115" t="s">
        <v>22</v>
      </c>
      <c r="D38" s="115" t="s">
        <v>61</v>
      </c>
      <c r="E38" s="79" t="s">
        <v>65</v>
      </c>
      <c r="F38" s="115"/>
      <c r="G38" s="81">
        <f>G39</f>
        <v>250</v>
      </c>
      <c r="H38" s="81">
        <f t="shared" si="1"/>
        <v>250</v>
      </c>
      <c r="I38" s="81">
        <f aca="true" t="shared" si="12" ref="I38:Q38">I39</f>
        <v>100</v>
      </c>
      <c r="J38" s="81">
        <f t="shared" si="12"/>
        <v>150</v>
      </c>
      <c r="K38" s="81">
        <f t="shared" si="12"/>
        <v>0</v>
      </c>
      <c r="L38" s="82">
        <f t="shared" si="12"/>
        <v>0</v>
      </c>
      <c r="M38" s="125">
        <f t="shared" si="12"/>
        <v>0</v>
      </c>
      <c r="N38" s="126">
        <f t="shared" si="12"/>
        <v>0</v>
      </c>
      <c r="O38" s="81">
        <f t="shared" si="12"/>
        <v>0</v>
      </c>
      <c r="P38" s="81">
        <f t="shared" si="12"/>
        <v>50</v>
      </c>
      <c r="Q38" s="81">
        <f t="shared" si="12"/>
        <v>50</v>
      </c>
    </row>
    <row r="39" spans="1:17" s="113" customFormat="1" ht="82.5">
      <c r="A39" s="302"/>
      <c r="B39" s="114" t="s">
        <v>66</v>
      </c>
      <c r="C39" s="115" t="s">
        <v>22</v>
      </c>
      <c r="D39" s="115" t="s">
        <v>61</v>
      </c>
      <c r="E39" s="79" t="s">
        <v>67</v>
      </c>
      <c r="F39" s="115" t="s">
        <v>31</v>
      </c>
      <c r="G39" s="81">
        <v>250</v>
      </c>
      <c r="H39" s="81">
        <f t="shared" si="1"/>
        <v>250</v>
      </c>
      <c r="I39" s="81">
        <v>100</v>
      </c>
      <c r="J39" s="87">
        <v>150</v>
      </c>
      <c r="K39" s="87">
        <v>0</v>
      </c>
      <c r="L39" s="88">
        <v>0</v>
      </c>
      <c r="M39" s="89">
        <v>0</v>
      </c>
      <c r="N39" s="90">
        <v>0</v>
      </c>
      <c r="O39" s="87">
        <v>0</v>
      </c>
      <c r="P39" s="91">
        <v>50</v>
      </c>
      <c r="Q39" s="91">
        <v>50</v>
      </c>
    </row>
    <row r="40" spans="1:17" s="113" customFormat="1" ht="96">
      <c r="A40" s="302"/>
      <c r="B40" s="127" t="s">
        <v>68</v>
      </c>
      <c r="C40" s="115" t="s">
        <v>22</v>
      </c>
      <c r="D40" s="115" t="s">
        <v>61</v>
      </c>
      <c r="E40" s="79" t="s">
        <v>33</v>
      </c>
      <c r="F40" s="115"/>
      <c r="G40" s="81">
        <f>G41+G45</f>
        <v>10994.8</v>
      </c>
      <c r="H40" s="112">
        <f t="shared" si="1"/>
        <v>13886.154329999998</v>
      </c>
      <c r="I40" s="81">
        <f>I41+I45</f>
        <v>11682.5</v>
      </c>
      <c r="J40" s="87">
        <f aca="true" t="shared" si="13" ref="J40:Q40">J41+J45+J47</f>
        <v>1852.63834</v>
      </c>
      <c r="K40" s="87">
        <f t="shared" si="13"/>
        <v>0</v>
      </c>
      <c r="L40" s="88">
        <f t="shared" si="13"/>
        <v>432.701</v>
      </c>
      <c r="M40" s="89">
        <f t="shared" si="13"/>
        <v>180.48016</v>
      </c>
      <c r="N40" s="90">
        <f t="shared" si="13"/>
        <v>-262.16517</v>
      </c>
      <c r="O40" s="87">
        <f t="shared" si="13"/>
        <v>0</v>
      </c>
      <c r="P40" s="80">
        <f t="shared" si="13"/>
        <v>11459.300000000001</v>
      </c>
      <c r="Q40" s="80">
        <f t="shared" si="13"/>
        <v>11511.300000000001</v>
      </c>
    </row>
    <row r="41" spans="1:17" s="113" customFormat="1" ht="54.75">
      <c r="A41" s="302"/>
      <c r="B41" s="127" t="s">
        <v>34</v>
      </c>
      <c r="C41" s="115" t="s">
        <v>22</v>
      </c>
      <c r="D41" s="115" t="s">
        <v>61</v>
      </c>
      <c r="E41" s="79" t="s">
        <v>35</v>
      </c>
      <c r="F41" s="115"/>
      <c r="G41" s="91">
        <f>G42+G43+G44</f>
        <v>10822</v>
      </c>
      <c r="H41" s="112">
        <f t="shared" si="1"/>
        <v>12852.054329999999</v>
      </c>
      <c r="I41" s="91">
        <f aca="true" t="shared" si="14" ref="I41:Q41">I42+I43+I44</f>
        <v>11501.4</v>
      </c>
      <c r="J41" s="87">
        <f t="shared" si="14"/>
        <v>982.63834</v>
      </c>
      <c r="K41" s="87">
        <f t="shared" si="14"/>
        <v>0</v>
      </c>
      <c r="L41" s="128">
        <f t="shared" si="14"/>
        <v>449.701</v>
      </c>
      <c r="M41" s="89">
        <f t="shared" si="14"/>
        <v>180.48016</v>
      </c>
      <c r="N41" s="90">
        <f t="shared" si="14"/>
        <v>-262.16517</v>
      </c>
      <c r="O41" s="87">
        <f t="shared" si="14"/>
        <v>0</v>
      </c>
      <c r="P41" s="91">
        <f t="shared" si="14"/>
        <v>11278.2</v>
      </c>
      <c r="Q41" s="91">
        <f t="shared" si="14"/>
        <v>11330.2</v>
      </c>
    </row>
    <row r="42" spans="1:17" s="113" customFormat="1" ht="110.25" hidden="1">
      <c r="A42" s="302"/>
      <c r="B42" s="129" t="s">
        <v>69</v>
      </c>
      <c r="C42" s="130" t="s">
        <v>22</v>
      </c>
      <c r="D42" s="130" t="s">
        <v>61</v>
      </c>
      <c r="E42" s="54" t="s">
        <v>70</v>
      </c>
      <c r="F42" s="130" t="s">
        <v>46</v>
      </c>
      <c r="G42" s="95">
        <f>SUM(H42:M42)</f>
        <v>0</v>
      </c>
      <c r="H42" s="131">
        <f t="shared" si="1"/>
        <v>0</v>
      </c>
      <c r="I42" s="97">
        <f>SUM(J42:P42)</f>
        <v>0</v>
      </c>
      <c r="J42" s="97"/>
      <c r="K42" s="97"/>
      <c r="L42" s="98"/>
      <c r="M42" s="99"/>
      <c r="N42" s="100"/>
      <c r="O42" s="97"/>
      <c r="P42" s="132"/>
      <c r="Q42" s="132"/>
    </row>
    <row r="43" spans="1:17" s="113" customFormat="1" ht="110.25">
      <c r="A43" s="302"/>
      <c r="B43" s="78" t="s">
        <v>71</v>
      </c>
      <c r="C43" s="79" t="s">
        <v>22</v>
      </c>
      <c r="D43" s="79" t="s">
        <v>61</v>
      </c>
      <c r="E43" s="79" t="s">
        <v>72</v>
      </c>
      <c r="F43" s="79" t="s">
        <v>46</v>
      </c>
      <c r="G43" s="81">
        <v>9277</v>
      </c>
      <c r="H43" s="81">
        <f t="shared" si="1"/>
        <v>9646</v>
      </c>
      <c r="I43" s="81">
        <f>9363.5+281.5</f>
        <v>9645</v>
      </c>
      <c r="J43" s="80">
        <v>0</v>
      </c>
      <c r="K43" s="80">
        <v>0</v>
      </c>
      <c r="L43" s="82">
        <v>200.9</v>
      </c>
      <c r="M43" s="83">
        <v>0</v>
      </c>
      <c r="N43" s="133">
        <v>-199.9</v>
      </c>
      <c r="O43" s="80">
        <v>0</v>
      </c>
      <c r="P43" s="81">
        <f>9363.5</f>
        <v>9363.5</v>
      </c>
      <c r="Q43" s="81">
        <f>9363.5</f>
        <v>9363.5</v>
      </c>
    </row>
    <row r="44" spans="1:17" s="113" customFormat="1" ht="69">
      <c r="A44" s="302"/>
      <c r="B44" s="114" t="s">
        <v>73</v>
      </c>
      <c r="C44" s="115" t="s">
        <v>22</v>
      </c>
      <c r="D44" s="115" t="s">
        <v>61</v>
      </c>
      <c r="E44" s="79" t="s">
        <v>74</v>
      </c>
      <c r="F44" s="115" t="s">
        <v>31</v>
      </c>
      <c r="G44" s="81">
        <v>1545</v>
      </c>
      <c r="H44" s="112">
        <f t="shared" si="1"/>
        <v>3206.05433</v>
      </c>
      <c r="I44" s="81">
        <v>1856.4</v>
      </c>
      <c r="J44" s="87">
        <f>40+942.63834</f>
        <v>982.63834</v>
      </c>
      <c r="K44" s="87">
        <v>0</v>
      </c>
      <c r="L44" s="128">
        <f>17+231.801</f>
        <v>248.801</v>
      </c>
      <c r="M44" s="89">
        <v>180.48016</v>
      </c>
      <c r="N44" s="134">
        <v>-62.26517</v>
      </c>
      <c r="O44" s="87">
        <v>0</v>
      </c>
      <c r="P44" s="91">
        <v>1914.7</v>
      </c>
      <c r="Q44" s="91">
        <v>1966.7</v>
      </c>
    </row>
    <row r="45" spans="1:17" s="113" customFormat="1" ht="33" customHeight="1">
      <c r="A45" s="302"/>
      <c r="B45" s="127" t="s">
        <v>75</v>
      </c>
      <c r="C45" s="115" t="s">
        <v>22</v>
      </c>
      <c r="D45" s="115" t="s">
        <v>61</v>
      </c>
      <c r="E45" s="79" t="s">
        <v>76</v>
      </c>
      <c r="F45" s="115"/>
      <c r="G45" s="91">
        <f>G46</f>
        <v>172.8</v>
      </c>
      <c r="H45" s="81">
        <f t="shared" si="1"/>
        <v>181.1</v>
      </c>
      <c r="I45" s="91">
        <f aca="true" t="shared" si="15" ref="I45:Q45">I46</f>
        <v>181.1</v>
      </c>
      <c r="J45" s="87">
        <f t="shared" si="15"/>
        <v>0</v>
      </c>
      <c r="K45" s="87">
        <f t="shared" si="15"/>
        <v>0</v>
      </c>
      <c r="L45" s="88">
        <f t="shared" si="15"/>
        <v>0</v>
      </c>
      <c r="M45" s="89">
        <f t="shared" si="15"/>
        <v>0</v>
      </c>
      <c r="N45" s="90">
        <f t="shared" si="15"/>
        <v>0</v>
      </c>
      <c r="O45" s="87">
        <f t="shared" si="15"/>
        <v>0</v>
      </c>
      <c r="P45" s="91">
        <f t="shared" si="15"/>
        <v>181.1</v>
      </c>
      <c r="Q45" s="91">
        <f t="shared" si="15"/>
        <v>181.1</v>
      </c>
    </row>
    <row r="46" spans="1:17" s="113" customFormat="1" ht="45" customHeight="1">
      <c r="A46" s="302"/>
      <c r="B46" s="114" t="s">
        <v>77</v>
      </c>
      <c r="C46" s="115" t="s">
        <v>22</v>
      </c>
      <c r="D46" s="115" t="s">
        <v>61</v>
      </c>
      <c r="E46" s="79" t="s">
        <v>78</v>
      </c>
      <c r="F46" s="115" t="s">
        <v>39</v>
      </c>
      <c r="G46" s="80">
        <v>172.8</v>
      </c>
      <c r="H46" s="81">
        <f t="shared" si="1"/>
        <v>181.1</v>
      </c>
      <c r="I46" s="80">
        <v>181.1</v>
      </c>
      <c r="J46" s="80">
        <v>0</v>
      </c>
      <c r="K46" s="80">
        <v>0</v>
      </c>
      <c r="L46" s="82">
        <v>0</v>
      </c>
      <c r="M46" s="83">
        <v>0</v>
      </c>
      <c r="N46" s="84">
        <v>0</v>
      </c>
      <c r="O46" s="80">
        <v>0</v>
      </c>
      <c r="P46" s="80">
        <v>181.1</v>
      </c>
      <c r="Q46" s="80">
        <v>181.1</v>
      </c>
    </row>
    <row r="47" spans="1:17" s="113" customFormat="1" ht="48" customHeight="1">
      <c r="A47" s="302"/>
      <c r="B47" s="127" t="s">
        <v>79</v>
      </c>
      <c r="C47" s="115" t="s">
        <v>22</v>
      </c>
      <c r="D47" s="115" t="s">
        <v>61</v>
      </c>
      <c r="E47" s="79" t="s">
        <v>80</v>
      </c>
      <c r="F47" s="115"/>
      <c r="G47" s="135">
        <v>0</v>
      </c>
      <c r="H47" s="81">
        <f t="shared" si="1"/>
        <v>853</v>
      </c>
      <c r="I47" s="81">
        <f aca="true" t="shared" si="16" ref="I47:Q47">I48</f>
        <v>0</v>
      </c>
      <c r="J47" s="80">
        <f t="shared" si="16"/>
        <v>870</v>
      </c>
      <c r="K47" s="81">
        <f t="shared" si="16"/>
        <v>0</v>
      </c>
      <c r="L47" s="82">
        <f t="shared" si="16"/>
        <v>-17</v>
      </c>
      <c r="M47" s="125">
        <f t="shared" si="16"/>
        <v>0</v>
      </c>
      <c r="N47" s="126">
        <f t="shared" si="16"/>
        <v>0</v>
      </c>
      <c r="O47" s="81">
        <f t="shared" si="16"/>
        <v>0</v>
      </c>
      <c r="P47" s="81">
        <f t="shared" si="16"/>
        <v>0</v>
      </c>
      <c r="Q47" s="81">
        <f t="shared" si="16"/>
        <v>0</v>
      </c>
    </row>
    <row r="48" spans="1:17" s="113" customFormat="1" ht="69">
      <c r="A48" s="302"/>
      <c r="B48" s="114" t="s">
        <v>73</v>
      </c>
      <c r="C48" s="115" t="s">
        <v>22</v>
      </c>
      <c r="D48" s="115" t="s">
        <v>61</v>
      </c>
      <c r="E48" s="79" t="s">
        <v>81</v>
      </c>
      <c r="F48" s="115" t="s">
        <v>31</v>
      </c>
      <c r="G48" s="136">
        <f>SUM(H48:M48)</f>
        <v>1706</v>
      </c>
      <c r="H48" s="81">
        <f t="shared" si="1"/>
        <v>853</v>
      </c>
      <c r="I48" s="74">
        <v>0</v>
      </c>
      <c r="J48" s="80">
        <f>+870</f>
        <v>870</v>
      </c>
      <c r="K48" s="80">
        <v>0</v>
      </c>
      <c r="L48" s="82">
        <v>-17</v>
      </c>
      <c r="M48" s="83">
        <v>0</v>
      </c>
      <c r="N48" s="84">
        <v>0</v>
      </c>
      <c r="O48" s="80">
        <v>0</v>
      </c>
      <c r="P48" s="91">
        <v>0</v>
      </c>
      <c r="Q48" s="91">
        <v>0</v>
      </c>
    </row>
    <row r="49" spans="1:17" s="113" customFormat="1" ht="17.25" customHeight="1">
      <c r="A49" s="302"/>
      <c r="B49" s="137" t="s">
        <v>82</v>
      </c>
      <c r="C49" s="79" t="s">
        <v>22</v>
      </c>
      <c r="D49" s="79" t="s">
        <v>61</v>
      </c>
      <c r="E49" s="79" t="s">
        <v>41</v>
      </c>
      <c r="F49" s="115"/>
      <c r="G49" s="136"/>
      <c r="H49" s="86">
        <f>H50</f>
        <v>361.567</v>
      </c>
      <c r="I49" s="74"/>
      <c r="J49" s="80"/>
      <c r="K49" s="80">
        <f>K50</f>
        <v>414.14839</v>
      </c>
      <c r="L49" s="82"/>
      <c r="M49" s="83">
        <f>M50</f>
        <v>-52.58139</v>
      </c>
      <c r="N49" s="84"/>
      <c r="O49" s="80"/>
      <c r="P49" s="91">
        <v>0</v>
      </c>
      <c r="Q49" s="91">
        <v>0</v>
      </c>
    </row>
    <row r="50" spans="1:17" s="113" customFormat="1" ht="28.5" customHeight="1">
      <c r="A50" s="302"/>
      <c r="B50" s="78" t="s">
        <v>42</v>
      </c>
      <c r="C50" s="79" t="s">
        <v>22</v>
      </c>
      <c r="D50" s="79" t="s">
        <v>61</v>
      </c>
      <c r="E50" s="79" t="s">
        <v>43</v>
      </c>
      <c r="F50" s="115"/>
      <c r="G50" s="136"/>
      <c r="H50" s="86">
        <f>H51</f>
        <v>361.567</v>
      </c>
      <c r="I50" s="74"/>
      <c r="J50" s="80"/>
      <c r="K50" s="80">
        <f>K51</f>
        <v>414.14839</v>
      </c>
      <c r="L50" s="82"/>
      <c r="M50" s="83">
        <f>M51</f>
        <v>-52.58139</v>
      </c>
      <c r="N50" s="84"/>
      <c r="O50" s="80"/>
      <c r="P50" s="91">
        <v>0</v>
      </c>
      <c r="Q50" s="91">
        <v>0</v>
      </c>
    </row>
    <row r="51" spans="1:17" s="113" customFormat="1" ht="41.25">
      <c r="A51" s="302"/>
      <c r="B51" s="121" t="s">
        <v>83</v>
      </c>
      <c r="C51" s="115" t="s">
        <v>22</v>
      </c>
      <c r="D51" s="115" t="s">
        <v>61</v>
      </c>
      <c r="E51" s="79" t="s">
        <v>84</v>
      </c>
      <c r="F51" s="115" t="s">
        <v>39</v>
      </c>
      <c r="G51" s="136"/>
      <c r="H51" s="86">
        <f aca="true" t="shared" si="17" ref="H51:H78">SUM(I51:O51)</f>
        <v>361.567</v>
      </c>
      <c r="I51" s="74"/>
      <c r="J51" s="80"/>
      <c r="K51" s="80">
        <v>414.14839</v>
      </c>
      <c r="L51" s="82"/>
      <c r="M51" s="83">
        <v>-52.58139</v>
      </c>
      <c r="N51" s="84"/>
      <c r="O51" s="80"/>
      <c r="P51" s="91">
        <v>0</v>
      </c>
      <c r="Q51" s="91">
        <v>0</v>
      </c>
    </row>
    <row r="52" spans="1:17" s="77" customFormat="1" ht="19.5" customHeight="1">
      <c r="A52" s="302"/>
      <c r="B52" s="122" t="s">
        <v>85</v>
      </c>
      <c r="C52" s="123" t="s">
        <v>86</v>
      </c>
      <c r="D52" s="123"/>
      <c r="E52" s="73"/>
      <c r="F52" s="123"/>
      <c r="G52" s="55">
        <f>G53</f>
        <v>199.1</v>
      </c>
      <c r="H52" s="55">
        <f t="shared" si="17"/>
        <v>236.39999999999998</v>
      </c>
      <c r="I52" s="55">
        <f aca="true" t="shared" si="18" ref="I52:Q52">I53</f>
        <v>236.39999999999998</v>
      </c>
      <c r="J52" s="74">
        <f t="shared" si="18"/>
        <v>0</v>
      </c>
      <c r="K52" s="74">
        <f t="shared" si="18"/>
        <v>0</v>
      </c>
      <c r="L52" s="58">
        <f t="shared" si="18"/>
        <v>0</v>
      </c>
      <c r="M52" s="75">
        <f t="shared" si="18"/>
        <v>0</v>
      </c>
      <c r="N52" s="76">
        <f t="shared" si="18"/>
        <v>0</v>
      </c>
      <c r="O52" s="74">
        <f t="shared" si="18"/>
        <v>0</v>
      </c>
      <c r="P52" s="55">
        <f t="shared" si="18"/>
        <v>238.7</v>
      </c>
      <c r="Q52" s="55">
        <f t="shared" si="18"/>
        <v>247.5</v>
      </c>
    </row>
    <row r="53" spans="1:17" s="77" customFormat="1" ht="27">
      <c r="A53" s="302"/>
      <c r="B53" s="72" t="s">
        <v>87</v>
      </c>
      <c r="C53" s="73" t="s">
        <v>86</v>
      </c>
      <c r="D53" s="73" t="s">
        <v>88</v>
      </c>
      <c r="E53" s="73"/>
      <c r="F53" s="73"/>
      <c r="G53" s="55">
        <f>G55</f>
        <v>199.1</v>
      </c>
      <c r="H53" s="55">
        <f t="shared" si="17"/>
        <v>236.39999999999998</v>
      </c>
      <c r="I53" s="55">
        <f aca="true" t="shared" si="19" ref="I53:Q53">I55</f>
        <v>236.39999999999998</v>
      </c>
      <c r="J53" s="74">
        <f t="shared" si="19"/>
        <v>0</v>
      </c>
      <c r="K53" s="74">
        <f t="shared" si="19"/>
        <v>0</v>
      </c>
      <c r="L53" s="58">
        <f t="shared" si="19"/>
        <v>0</v>
      </c>
      <c r="M53" s="75">
        <f t="shared" si="19"/>
        <v>0</v>
      </c>
      <c r="N53" s="76">
        <f t="shared" si="19"/>
        <v>0</v>
      </c>
      <c r="O53" s="74">
        <f t="shared" si="19"/>
        <v>0</v>
      </c>
      <c r="P53" s="55">
        <f t="shared" si="19"/>
        <v>238.7</v>
      </c>
      <c r="Q53" s="55">
        <f t="shared" si="19"/>
        <v>247.5</v>
      </c>
    </row>
    <row r="54" spans="1:17" s="113" customFormat="1" ht="18.75" customHeight="1">
      <c r="A54" s="302"/>
      <c r="B54" s="78" t="s">
        <v>40</v>
      </c>
      <c r="C54" s="79" t="s">
        <v>86</v>
      </c>
      <c r="D54" s="79" t="s">
        <v>88</v>
      </c>
      <c r="E54" s="79" t="s">
        <v>41</v>
      </c>
      <c r="F54" s="79"/>
      <c r="G54" s="81">
        <f>G55</f>
        <v>199.1</v>
      </c>
      <c r="H54" s="81">
        <f t="shared" si="17"/>
        <v>236.39999999999998</v>
      </c>
      <c r="I54" s="81">
        <f aca="true" t="shared" si="20" ref="I54:Q54">I55</f>
        <v>236.39999999999998</v>
      </c>
      <c r="J54" s="80">
        <f t="shared" si="20"/>
        <v>0</v>
      </c>
      <c r="K54" s="80">
        <f t="shared" si="20"/>
        <v>0</v>
      </c>
      <c r="L54" s="82">
        <f t="shared" si="20"/>
        <v>0</v>
      </c>
      <c r="M54" s="83">
        <f t="shared" si="20"/>
        <v>0</v>
      </c>
      <c r="N54" s="84">
        <f t="shared" si="20"/>
        <v>0</v>
      </c>
      <c r="O54" s="80">
        <f t="shared" si="20"/>
        <v>0</v>
      </c>
      <c r="P54" s="81">
        <f t="shared" si="20"/>
        <v>238.7</v>
      </c>
      <c r="Q54" s="81">
        <f t="shared" si="20"/>
        <v>247.5</v>
      </c>
    </row>
    <row r="55" spans="1:17" s="113" customFormat="1" ht="27">
      <c r="A55" s="302"/>
      <c r="B55" s="78" t="s">
        <v>42</v>
      </c>
      <c r="C55" s="79" t="s">
        <v>86</v>
      </c>
      <c r="D55" s="79" t="s">
        <v>88</v>
      </c>
      <c r="E55" s="79" t="s">
        <v>43</v>
      </c>
      <c r="F55" s="79"/>
      <c r="G55" s="80">
        <f>G56+G57</f>
        <v>199.1</v>
      </c>
      <c r="H55" s="81">
        <f t="shared" si="17"/>
        <v>236.39999999999998</v>
      </c>
      <c r="I55" s="80">
        <f>I56+I57</f>
        <v>236.39999999999998</v>
      </c>
      <c r="J55" s="80">
        <f aca="true" t="shared" si="21" ref="J55:O55">SUM(J56:J57)</f>
        <v>0</v>
      </c>
      <c r="K55" s="80">
        <f t="shared" si="21"/>
        <v>0</v>
      </c>
      <c r="L55" s="82">
        <f t="shared" si="21"/>
        <v>0</v>
      </c>
      <c r="M55" s="83">
        <f t="shared" si="21"/>
        <v>0</v>
      </c>
      <c r="N55" s="84">
        <f t="shared" si="21"/>
        <v>0</v>
      </c>
      <c r="O55" s="80">
        <f t="shared" si="21"/>
        <v>0</v>
      </c>
      <c r="P55" s="80">
        <f>P56+P57</f>
        <v>238.7</v>
      </c>
      <c r="Q55" s="80">
        <f>Q56+Q57</f>
        <v>247.5</v>
      </c>
    </row>
    <row r="56" spans="1:17" s="113" customFormat="1" ht="110.25">
      <c r="A56" s="302"/>
      <c r="B56" s="78" t="s">
        <v>89</v>
      </c>
      <c r="C56" s="79" t="s">
        <v>86</v>
      </c>
      <c r="D56" s="79" t="s">
        <v>88</v>
      </c>
      <c r="E56" s="79" t="s">
        <v>90</v>
      </c>
      <c r="F56" s="79" t="s">
        <v>46</v>
      </c>
      <c r="G56" s="80">
        <v>189.6</v>
      </c>
      <c r="H56" s="138">
        <f t="shared" si="17"/>
        <v>192.80567</v>
      </c>
      <c r="I56" s="80">
        <v>189.6</v>
      </c>
      <c r="J56" s="80">
        <v>4.12086</v>
      </c>
      <c r="K56" s="80">
        <v>0</v>
      </c>
      <c r="L56" s="82">
        <v>0</v>
      </c>
      <c r="M56" s="83"/>
      <c r="N56" s="139">
        <v>-0.91519</v>
      </c>
      <c r="O56" s="80"/>
      <c r="P56" s="80">
        <v>189.6</v>
      </c>
      <c r="Q56" s="80">
        <v>189.6</v>
      </c>
    </row>
    <row r="57" spans="1:17" s="113" customFormat="1" ht="69">
      <c r="A57" s="302"/>
      <c r="B57" s="78" t="s">
        <v>91</v>
      </c>
      <c r="C57" s="79" t="s">
        <v>86</v>
      </c>
      <c r="D57" s="79" t="s">
        <v>88</v>
      </c>
      <c r="E57" s="79" t="s">
        <v>90</v>
      </c>
      <c r="F57" s="79" t="s">
        <v>31</v>
      </c>
      <c r="G57" s="80">
        <v>9.5</v>
      </c>
      <c r="H57" s="138">
        <f t="shared" si="17"/>
        <v>43.59433</v>
      </c>
      <c r="I57" s="80">
        <v>46.8</v>
      </c>
      <c r="J57" s="87">
        <v>-4.12086</v>
      </c>
      <c r="K57" s="87">
        <v>0</v>
      </c>
      <c r="L57" s="88">
        <v>0</v>
      </c>
      <c r="M57" s="89"/>
      <c r="N57" s="110">
        <v>0.91519</v>
      </c>
      <c r="O57" s="87">
        <v>0</v>
      </c>
      <c r="P57" s="80">
        <v>49.1</v>
      </c>
      <c r="Q57" s="80">
        <v>57.9</v>
      </c>
    </row>
    <row r="58" spans="1:18" s="77" customFormat="1" ht="32.25" customHeight="1">
      <c r="A58" s="302"/>
      <c r="B58" s="72" t="s">
        <v>92</v>
      </c>
      <c r="C58" s="73" t="s">
        <v>88</v>
      </c>
      <c r="D58" s="73"/>
      <c r="E58" s="73"/>
      <c r="F58" s="73"/>
      <c r="G58" s="74">
        <f>G59+G63</f>
        <v>620.4</v>
      </c>
      <c r="H58" s="56">
        <f t="shared" si="17"/>
        <v>495.08673000000005</v>
      </c>
      <c r="I58" s="55">
        <f>I59+I63</f>
        <v>504.1</v>
      </c>
      <c r="J58" s="55">
        <f aca="true" t="shared" si="22" ref="J58:Q58">SUM(J59,J63)</f>
        <v>0</v>
      </c>
      <c r="K58" s="55">
        <f t="shared" si="22"/>
        <v>0</v>
      </c>
      <c r="L58" s="56">
        <f t="shared" si="22"/>
        <v>-9.01327</v>
      </c>
      <c r="M58" s="59">
        <f t="shared" si="22"/>
        <v>0</v>
      </c>
      <c r="N58" s="60">
        <f t="shared" si="22"/>
        <v>0</v>
      </c>
      <c r="O58" s="55">
        <f t="shared" si="22"/>
        <v>0</v>
      </c>
      <c r="P58" s="55">
        <f t="shared" si="22"/>
        <v>200</v>
      </c>
      <c r="Q58" s="55">
        <f t="shared" si="22"/>
        <v>200</v>
      </c>
      <c r="R58" s="140"/>
    </row>
    <row r="59" spans="1:17" s="77" customFormat="1" ht="13.5" hidden="1">
      <c r="A59" s="302"/>
      <c r="B59" s="72" t="s">
        <v>93</v>
      </c>
      <c r="C59" s="73" t="s">
        <v>88</v>
      </c>
      <c r="D59" s="73" t="s">
        <v>94</v>
      </c>
      <c r="E59" s="73"/>
      <c r="F59" s="73"/>
      <c r="G59" s="55">
        <f>G60</f>
        <v>0</v>
      </c>
      <c r="H59" s="56">
        <f t="shared" si="17"/>
        <v>0</v>
      </c>
      <c r="I59" s="55">
        <f aca="true" t="shared" si="23" ref="I59:Q60">I60</f>
        <v>0</v>
      </c>
      <c r="J59" s="55">
        <f t="shared" si="23"/>
        <v>0</v>
      </c>
      <c r="K59" s="55">
        <f t="shared" si="23"/>
        <v>0</v>
      </c>
      <c r="L59" s="56">
        <f t="shared" si="23"/>
        <v>0</v>
      </c>
      <c r="M59" s="59">
        <f t="shared" si="23"/>
        <v>0</v>
      </c>
      <c r="N59" s="60">
        <f t="shared" si="23"/>
        <v>0</v>
      </c>
      <c r="O59" s="55">
        <f t="shared" si="23"/>
        <v>0</v>
      </c>
      <c r="P59" s="55">
        <f t="shared" si="23"/>
        <v>0</v>
      </c>
      <c r="Q59" s="55">
        <f t="shared" si="23"/>
        <v>0</v>
      </c>
    </row>
    <row r="60" spans="1:17" s="113" customFormat="1" ht="69" hidden="1">
      <c r="A60" s="302"/>
      <c r="B60" s="78" t="s">
        <v>95</v>
      </c>
      <c r="C60" s="79" t="s">
        <v>88</v>
      </c>
      <c r="D60" s="79" t="s">
        <v>94</v>
      </c>
      <c r="E60" s="79" t="s">
        <v>86</v>
      </c>
      <c r="F60" s="79"/>
      <c r="G60" s="81">
        <f>G61</f>
        <v>0</v>
      </c>
      <c r="H60" s="56">
        <f t="shared" si="17"/>
        <v>0</v>
      </c>
      <c r="I60" s="81">
        <f t="shared" si="23"/>
        <v>0</v>
      </c>
      <c r="J60" s="81">
        <f t="shared" si="23"/>
        <v>0</v>
      </c>
      <c r="K60" s="81">
        <f t="shared" si="23"/>
        <v>0</v>
      </c>
      <c r="L60" s="112">
        <f t="shared" si="23"/>
        <v>0</v>
      </c>
      <c r="M60" s="125">
        <f t="shared" si="23"/>
        <v>0</v>
      </c>
      <c r="N60" s="126">
        <f t="shared" si="23"/>
        <v>0</v>
      </c>
      <c r="O60" s="81">
        <f t="shared" si="23"/>
        <v>0</v>
      </c>
      <c r="P60" s="81">
        <f t="shared" si="23"/>
        <v>0</v>
      </c>
      <c r="Q60" s="81">
        <f t="shared" si="23"/>
        <v>0</v>
      </c>
    </row>
    <row r="61" spans="1:17" s="113" customFormat="1" ht="44.25" customHeight="1" hidden="1">
      <c r="A61" s="302"/>
      <c r="B61" s="78" t="s">
        <v>96</v>
      </c>
      <c r="C61" s="79" t="s">
        <v>88</v>
      </c>
      <c r="D61" s="79" t="s">
        <v>94</v>
      </c>
      <c r="E61" s="79" t="s">
        <v>97</v>
      </c>
      <c r="F61" s="79"/>
      <c r="G61" s="81">
        <f>G62</f>
        <v>0</v>
      </c>
      <c r="H61" s="56">
        <f t="shared" si="17"/>
        <v>0</v>
      </c>
      <c r="I61" s="81">
        <f>I62</f>
        <v>0</v>
      </c>
      <c r="J61" s="81">
        <f>J62</f>
        <v>0</v>
      </c>
      <c r="K61" s="81">
        <f>K62</f>
        <v>0</v>
      </c>
      <c r="L61" s="112">
        <f>L62</f>
        <v>0</v>
      </c>
      <c r="M61" s="125"/>
      <c r="N61" s="126"/>
      <c r="O61" s="81"/>
      <c r="P61" s="81">
        <f>P62</f>
        <v>0</v>
      </c>
      <c r="Q61" s="81">
        <f>Q62</f>
        <v>0</v>
      </c>
    </row>
    <row r="62" spans="1:17" s="113" customFormat="1" ht="64.5" customHeight="1" hidden="1">
      <c r="A62" s="302"/>
      <c r="B62" s="78" t="s">
        <v>98</v>
      </c>
      <c r="C62" s="79" t="s">
        <v>88</v>
      </c>
      <c r="D62" s="79" t="s">
        <v>94</v>
      </c>
      <c r="E62" s="79" t="s">
        <v>99</v>
      </c>
      <c r="F62" s="79" t="s">
        <v>31</v>
      </c>
      <c r="G62" s="81">
        <v>0</v>
      </c>
      <c r="H62" s="56">
        <f t="shared" si="17"/>
        <v>0</v>
      </c>
      <c r="I62" s="81">
        <v>0</v>
      </c>
      <c r="J62" s="81">
        <v>0</v>
      </c>
      <c r="K62" s="81">
        <v>0</v>
      </c>
      <c r="L62" s="112">
        <v>0</v>
      </c>
      <c r="M62" s="125"/>
      <c r="N62" s="126"/>
      <c r="O62" s="81"/>
      <c r="P62" s="81">
        <v>0</v>
      </c>
      <c r="Q62" s="91">
        <v>0</v>
      </c>
    </row>
    <row r="63" spans="1:17" s="77" customFormat="1" ht="55.5" customHeight="1">
      <c r="A63" s="302"/>
      <c r="B63" s="72" t="s">
        <v>100</v>
      </c>
      <c r="C63" s="73" t="s">
        <v>88</v>
      </c>
      <c r="D63" s="73" t="s">
        <v>101</v>
      </c>
      <c r="E63" s="73"/>
      <c r="F63" s="73"/>
      <c r="G63" s="74">
        <f>G64+G67</f>
        <v>620.4</v>
      </c>
      <c r="H63" s="56">
        <f t="shared" si="17"/>
        <v>495.08673000000005</v>
      </c>
      <c r="I63" s="55">
        <f aca="true" t="shared" si="24" ref="I63:Q63">I64+I67</f>
        <v>504.1</v>
      </c>
      <c r="J63" s="55">
        <f t="shared" si="24"/>
        <v>0</v>
      </c>
      <c r="K63" s="55">
        <f t="shared" si="24"/>
        <v>0</v>
      </c>
      <c r="L63" s="56">
        <f t="shared" si="24"/>
        <v>-9.01327</v>
      </c>
      <c r="M63" s="59">
        <f t="shared" si="24"/>
        <v>0</v>
      </c>
      <c r="N63" s="60">
        <f t="shared" si="24"/>
        <v>0</v>
      </c>
      <c r="O63" s="55">
        <f t="shared" si="24"/>
        <v>0</v>
      </c>
      <c r="P63" s="55">
        <f t="shared" si="24"/>
        <v>200</v>
      </c>
      <c r="Q63" s="55">
        <f t="shared" si="24"/>
        <v>200</v>
      </c>
    </row>
    <row r="64" spans="1:17" s="77" customFormat="1" ht="69">
      <c r="A64" s="302"/>
      <c r="B64" s="78" t="s">
        <v>95</v>
      </c>
      <c r="C64" s="79" t="s">
        <v>88</v>
      </c>
      <c r="D64" s="79" t="s">
        <v>101</v>
      </c>
      <c r="E64" s="79" t="s">
        <v>86</v>
      </c>
      <c r="F64" s="79"/>
      <c r="G64" s="81">
        <v>319</v>
      </c>
      <c r="H64" s="112">
        <f t="shared" si="17"/>
        <v>190.98673</v>
      </c>
      <c r="I64" s="81">
        <f aca="true" t="shared" si="25" ref="I64:Q64">I65</f>
        <v>200</v>
      </c>
      <c r="J64" s="81">
        <f t="shared" si="25"/>
        <v>0</v>
      </c>
      <c r="K64" s="81">
        <f t="shared" si="25"/>
        <v>0</v>
      </c>
      <c r="L64" s="112">
        <f t="shared" si="25"/>
        <v>-9.01327</v>
      </c>
      <c r="M64" s="125">
        <f t="shared" si="25"/>
        <v>0</v>
      </c>
      <c r="N64" s="126">
        <f t="shared" si="25"/>
        <v>0</v>
      </c>
      <c r="O64" s="81">
        <f t="shared" si="25"/>
        <v>0</v>
      </c>
      <c r="P64" s="81">
        <f t="shared" si="25"/>
        <v>100</v>
      </c>
      <c r="Q64" s="81">
        <f t="shared" si="25"/>
        <v>100</v>
      </c>
    </row>
    <row r="65" spans="1:17" s="77" customFormat="1" ht="45.75" customHeight="1">
      <c r="A65" s="302"/>
      <c r="B65" s="78" t="s">
        <v>96</v>
      </c>
      <c r="C65" s="79" t="s">
        <v>88</v>
      </c>
      <c r="D65" s="79" t="s">
        <v>101</v>
      </c>
      <c r="E65" s="79" t="s">
        <v>97</v>
      </c>
      <c r="F65" s="79"/>
      <c r="G65" s="81">
        <v>319</v>
      </c>
      <c r="H65" s="112">
        <f t="shared" si="17"/>
        <v>190.98673</v>
      </c>
      <c r="I65" s="81">
        <f>I66</f>
        <v>200</v>
      </c>
      <c r="J65" s="80">
        <f>J66</f>
        <v>0</v>
      </c>
      <c r="K65" s="80">
        <f>K66</f>
        <v>0</v>
      </c>
      <c r="L65" s="112">
        <f>L66</f>
        <v>-9.01327</v>
      </c>
      <c r="M65" s="83"/>
      <c r="N65" s="84"/>
      <c r="O65" s="80"/>
      <c r="P65" s="81">
        <f>P66</f>
        <v>100</v>
      </c>
      <c r="Q65" s="81">
        <f>Q66</f>
        <v>100</v>
      </c>
    </row>
    <row r="66" spans="1:17" s="77" customFormat="1" ht="69">
      <c r="A66" s="302"/>
      <c r="B66" s="78" t="s">
        <v>98</v>
      </c>
      <c r="C66" s="79" t="s">
        <v>88</v>
      </c>
      <c r="D66" s="79" t="s">
        <v>101</v>
      </c>
      <c r="E66" s="79" t="s">
        <v>99</v>
      </c>
      <c r="F66" s="79" t="s">
        <v>31</v>
      </c>
      <c r="G66" s="81">
        <v>319</v>
      </c>
      <c r="H66" s="112">
        <f t="shared" si="17"/>
        <v>190.98673</v>
      </c>
      <c r="I66" s="81">
        <v>200</v>
      </c>
      <c r="J66" s="80">
        <v>0</v>
      </c>
      <c r="K66" s="80">
        <v>0</v>
      </c>
      <c r="L66" s="112">
        <f>-2-7.01327</f>
        <v>-9.01327</v>
      </c>
      <c r="M66" s="83"/>
      <c r="N66" s="84"/>
      <c r="O66" s="80"/>
      <c r="P66" s="81">
        <v>100</v>
      </c>
      <c r="Q66" s="91">
        <v>100</v>
      </c>
    </row>
    <row r="67" spans="1:17" s="113" customFormat="1" ht="54.75">
      <c r="A67" s="302"/>
      <c r="B67" s="114" t="s">
        <v>102</v>
      </c>
      <c r="C67" s="79" t="s">
        <v>88</v>
      </c>
      <c r="D67" s="79" t="s">
        <v>101</v>
      </c>
      <c r="E67" s="79" t="s">
        <v>57</v>
      </c>
      <c r="F67" s="79"/>
      <c r="G67" s="80">
        <v>301.4</v>
      </c>
      <c r="H67" s="81">
        <f t="shared" si="17"/>
        <v>304.1</v>
      </c>
      <c r="I67" s="81">
        <f aca="true" t="shared" si="26" ref="I67:Q67">I68</f>
        <v>304.1</v>
      </c>
      <c r="J67" s="81">
        <f t="shared" si="26"/>
        <v>0</v>
      </c>
      <c r="K67" s="81">
        <f t="shared" si="26"/>
        <v>0</v>
      </c>
      <c r="L67" s="82">
        <f t="shared" si="26"/>
        <v>0</v>
      </c>
      <c r="M67" s="83">
        <f t="shared" si="26"/>
        <v>0</v>
      </c>
      <c r="N67" s="84">
        <f t="shared" si="26"/>
        <v>0</v>
      </c>
      <c r="O67" s="80">
        <f t="shared" si="26"/>
        <v>0</v>
      </c>
      <c r="P67" s="81">
        <f t="shared" si="26"/>
        <v>100</v>
      </c>
      <c r="Q67" s="81">
        <f t="shared" si="26"/>
        <v>100</v>
      </c>
    </row>
    <row r="68" spans="1:17" s="113" customFormat="1" ht="110.25">
      <c r="A68" s="302"/>
      <c r="B68" s="78" t="s">
        <v>103</v>
      </c>
      <c r="C68" s="79" t="s">
        <v>88</v>
      </c>
      <c r="D68" s="79" t="s">
        <v>101</v>
      </c>
      <c r="E68" s="79" t="s">
        <v>104</v>
      </c>
      <c r="F68" s="79"/>
      <c r="G68" s="80">
        <v>304.1</v>
      </c>
      <c r="H68" s="81">
        <f t="shared" si="17"/>
        <v>304.1</v>
      </c>
      <c r="I68" s="81">
        <f>I69</f>
        <v>304.1</v>
      </c>
      <c r="J68" s="81">
        <f>J69</f>
        <v>0</v>
      </c>
      <c r="K68" s="81">
        <f>K69</f>
        <v>0</v>
      </c>
      <c r="L68" s="82">
        <f>L69</f>
        <v>0</v>
      </c>
      <c r="M68" s="83"/>
      <c r="N68" s="84"/>
      <c r="O68" s="80"/>
      <c r="P68" s="81">
        <f>P69</f>
        <v>100</v>
      </c>
      <c r="Q68" s="81">
        <f>Q69</f>
        <v>100</v>
      </c>
    </row>
    <row r="69" spans="1:17" s="113" customFormat="1" ht="54.75">
      <c r="A69" s="302"/>
      <c r="B69" s="114" t="s">
        <v>105</v>
      </c>
      <c r="C69" s="115" t="s">
        <v>88</v>
      </c>
      <c r="D69" s="115" t="s">
        <v>101</v>
      </c>
      <c r="E69" s="115" t="s">
        <v>106</v>
      </c>
      <c r="F69" s="115" t="s">
        <v>31</v>
      </c>
      <c r="G69" s="80">
        <v>304.1</v>
      </c>
      <c r="H69" s="81">
        <f t="shared" si="17"/>
        <v>304.1</v>
      </c>
      <c r="I69" s="81">
        <v>304.1</v>
      </c>
      <c r="J69" s="81">
        <v>0</v>
      </c>
      <c r="K69" s="81">
        <v>0</v>
      </c>
      <c r="L69" s="82">
        <v>0</v>
      </c>
      <c r="M69" s="125"/>
      <c r="N69" s="126"/>
      <c r="O69" s="81"/>
      <c r="P69" s="81">
        <v>100</v>
      </c>
      <c r="Q69" s="81">
        <v>100</v>
      </c>
    </row>
    <row r="70" spans="1:17" s="113" customFormat="1" ht="13.5">
      <c r="A70" s="302"/>
      <c r="B70" s="72" t="s">
        <v>107</v>
      </c>
      <c r="C70" s="141" t="s">
        <v>24</v>
      </c>
      <c r="D70" s="141"/>
      <c r="E70" s="115"/>
      <c r="F70" s="115"/>
      <c r="G70" s="55">
        <f>SUM(G71,G75)</f>
        <v>0</v>
      </c>
      <c r="H70" s="55">
        <f t="shared" si="17"/>
        <v>10</v>
      </c>
      <c r="I70" s="55">
        <f aca="true" t="shared" si="27" ref="I70:Q70">SUM(I71,I75,I81)</f>
        <v>281.1</v>
      </c>
      <c r="J70" s="55">
        <f t="shared" si="27"/>
        <v>0</v>
      </c>
      <c r="K70" s="74">
        <f t="shared" si="27"/>
        <v>1510</v>
      </c>
      <c r="L70" s="58">
        <f t="shared" si="27"/>
        <v>-1781.1</v>
      </c>
      <c r="M70" s="59">
        <f t="shared" si="27"/>
        <v>0</v>
      </c>
      <c r="N70" s="60">
        <f t="shared" si="27"/>
        <v>0</v>
      </c>
      <c r="O70" s="55">
        <f t="shared" si="27"/>
        <v>0</v>
      </c>
      <c r="P70" s="55">
        <f t="shared" si="27"/>
        <v>295.6</v>
      </c>
      <c r="Q70" s="55">
        <f t="shared" si="27"/>
        <v>295.6</v>
      </c>
    </row>
    <row r="71" spans="1:17" s="113" customFormat="1" ht="15">
      <c r="A71" s="302"/>
      <c r="B71" s="72" t="s">
        <v>108</v>
      </c>
      <c r="C71" s="141" t="s">
        <v>24</v>
      </c>
      <c r="D71" s="141" t="s">
        <v>22</v>
      </c>
      <c r="E71" s="142"/>
      <c r="F71" s="143"/>
      <c r="G71" s="81">
        <f>G72</f>
        <v>0</v>
      </c>
      <c r="H71" s="81">
        <f t="shared" si="17"/>
        <v>0</v>
      </c>
      <c r="I71" s="81">
        <f aca="true" t="shared" si="28" ref="I71:Q73">I72</f>
        <v>281.1</v>
      </c>
      <c r="J71" s="80">
        <f t="shared" si="28"/>
        <v>0</v>
      </c>
      <c r="K71" s="80">
        <f t="shared" si="28"/>
        <v>1500</v>
      </c>
      <c r="L71" s="82">
        <f t="shared" si="28"/>
        <v>-1781.1</v>
      </c>
      <c r="M71" s="83">
        <f t="shared" si="28"/>
        <v>0</v>
      </c>
      <c r="N71" s="84">
        <f t="shared" si="28"/>
        <v>0</v>
      </c>
      <c r="O71" s="80">
        <f t="shared" si="28"/>
        <v>0</v>
      </c>
      <c r="P71" s="81">
        <f t="shared" si="28"/>
        <v>295.6</v>
      </c>
      <c r="Q71" s="81">
        <f t="shared" si="28"/>
        <v>295.6</v>
      </c>
    </row>
    <row r="72" spans="1:17" s="113" customFormat="1" ht="15">
      <c r="A72" s="302"/>
      <c r="B72" s="137" t="s">
        <v>82</v>
      </c>
      <c r="C72" s="79" t="s">
        <v>24</v>
      </c>
      <c r="D72" s="79" t="s">
        <v>22</v>
      </c>
      <c r="E72" s="144">
        <v>99</v>
      </c>
      <c r="F72" s="143"/>
      <c r="G72" s="81">
        <f>G73</f>
        <v>0</v>
      </c>
      <c r="H72" s="81">
        <f t="shared" si="17"/>
        <v>0</v>
      </c>
      <c r="I72" s="81">
        <f t="shared" si="28"/>
        <v>281.1</v>
      </c>
      <c r="J72" s="80">
        <f t="shared" si="28"/>
        <v>0</v>
      </c>
      <c r="K72" s="80">
        <f t="shared" si="28"/>
        <v>1500</v>
      </c>
      <c r="L72" s="82">
        <f t="shared" si="28"/>
        <v>-1781.1</v>
      </c>
      <c r="M72" s="83">
        <f t="shared" si="28"/>
        <v>0</v>
      </c>
      <c r="N72" s="84">
        <f t="shared" si="28"/>
        <v>0</v>
      </c>
      <c r="O72" s="80">
        <f t="shared" si="28"/>
        <v>0</v>
      </c>
      <c r="P72" s="81">
        <f t="shared" si="28"/>
        <v>295.6</v>
      </c>
      <c r="Q72" s="81">
        <f t="shared" si="28"/>
        <v>295.6</v>
      </c>
    </row>
    <row r="73" spans="1:17" s="113" customFormat="1" ht="15">
      <c r="A73" s="302"/>
      <c r="B73" s="137" t="s">
        <v>109</v>
      </c>
      <c r="C73" s="79" t="s">
        <v>24</v>
      </c>
      <c r="D73" s="79" t="s">
        <v>22</v>
      </c>
      <c r="E73" s="144" t="s">
        <v>110</v>
      </c>
      <c r="F73" s="143"/>
      <c r="G73" s="81">
        <f>G74</f>
        <v>0</v>
      </c>
      <c r="H73" s="81">
        <f t="shared" si="17"/>
        <v>0</v>
      </c>
      <c r="I73" s="81">
        <f t="shared" si="28"/>
        <v>281.1</v>
      </c>
      <c r="J73" s="80">
        <f t="shared" si="28"/>
        <v>0</v>
      </c>
      <c r="K73" s="80">
        <f t="shared" si="28"/>
        <v>1500</v>
      </c>
      <c r="L73" s="82">
        <f t="shared" si="28"/>
        <v>-1781.1</v>
      </c>
      <c r="M73" s="83">
        <f t="shared" si="28"/>
        <v>0</v>
      </c>
      <c r="N73" s="84">
        <f t="shared" si="28"/>
        <v>0</v>
      </c>
      <c r="O73" s="80">
        <f t="shared" si="28"/>
        <v>0</v>
      </c>
      <c r="P73" s="81">
        <f t="shared" si="28"/>
        <v>295.6</v>
      </c>
      <c r="Q73" s="81">
        <f t="shared" si="28"/>
        <v>295.6</v>
      </c>
    </row>
    <row r="74" spans="1:17" s="113" customFormat="1" ht="69">
      <c r="A74" s="302"/>
      <c r="B74" s="78" t="s">
        <v>111</v>
      </c>
      <c r="C74" s="79" t="s">
        <v>24</v>
      </c>
      <c r="D74" s="79" t="s">
        <v>22</v>
      </c>
      <c r="E74" s="79" t="s">
        <v>112</v>
      </c>
      <c r="F74" s="79" t="s">
        <v>39</v>
      </c>
      <c r="G74" s="55">
        <f>G79+G80</f>
        <v>0</v>
      </c>
      <c r="H74" s="81">
        <f t="shared" si="17"/>
        <v>0</v>
      </c>
      <c r="I74" s="80">
        <f>I79+I80</f>
        <v>281.1</v>
      </c>
      <c r="J74" s="80"/>
      <c r="K74" s="80">
        <v>1500</v>
      </c>
      <c r="L74" s="82">
        <v>-1781.1</v>
      </c>
      <c r="M74" s="83"/>
      <c r="N74" s="84"/>
      <c r="O74" s="80"/>
      <c r="P74" s="80">
        <v>295.6</v>
      </c>
      <c r="Q74" s="80">
        <v>295.6</v>
      </c>
    </row>
    <row r="75" spans="1:17" s="77" customFormat="1" ht="27" hidden="1">
      <c r="A75" s="302"/>
      <c r="B75" s="145" t="s">
        <v>113</v>
      </c>
      <c r="C75" s="64" t="s">
        <v>24</v>
      </c>
      <c r="D75" s="64" t="s">
        <v>114</v>
      </c>
      <c r="E75" s="64"/>
      <c r="F75" s="64"/>
      <c r="G75" s="74">
        <f>SUM(H75:M75)</f>
        <v>0</v>
      </c>
      <c r="H75" s="146">
        <f t="shared" si="17"/>
        <v>0</v>
      </c>
      <c r="I75" s="147">
        <f>SUM(J75:P75)</f>
        <v>0</v>
      </c>
      <c r="J75" s="147">
        <f aca="true" t="shared" si="29" ref="J75:L76">J76</f>
        <v>0</v>
      </c>
      <c r="K75" s="147">
        <f t="shared" si="29"/>
        <v>0</v>
      </c>
      <c r="L75" s="148">
        <f t="shared" si="29"/>
        <v>0</v>
      </c>
      <c r="M75" s="149"/>
      <c r="N75" s="150"/>
      <c r="O75" s="147"/>
      <c r="P75" s="151">
        <f aca="true" t="shared" si="30" ref="P75:Q77">P76</f>
        <v>0</v>
      </c>
      <c r="Q75" s="151">
        <f t="shared" si="30"/>
        <v>0</v>
      </c>
    </row>
    <row r="76" spans="1:17" s="113" customFormat="1" ht="15" hidden="1">
      <c r="A76" s="302"/>
      <c r="B76" s="152" t="s">
        <v>82</v>
      </c>
      <c r="C76" s="54" t="s">
        <v>24</v>
      </c>
      <c r="D76" s="54" t="s">
        <v>114</v>
      </c>
      <c r="E76" s="153">
        <v>99</v>
      </c>
      <c r="F76" s="154"/>
      <c r="G76" s="74">
        <f>SUM(H76:M76)</f>
        <v>0</v>
      </c>
      <c r="H76" s="146">
        <f t="shared" si="17"/>
        <v>0</v>
      </c>
      <c r="I76" s="147">
        <f>SUM(J76:P76)</f>
        <v>0</v>
      </c>
      <c r="J76" s="97">
        <f t="shared" si="29"/>
        <v>0</v>
      </c>
      <c r="K76" s="97">
        <f t="shared" si="29"/>
        <v>0</v>
      </c>
      <c r="L76" s="98">
        <f t="shared" si="29"/>
        <v>0</v>
      </c>
      <c r="M76" s="99"/>
      <c r="N76" s="100"/>
      <c r="O76" s="97"/>
      <c r="P76" s="155">
        <f t="shared" si="30"/>
        <v>0</v>
      </c>
      <c r="Q76" s="155">
        <f t="shared" si="30"/>
        <v>0</v>
      </c>
    </row>
    <row r="77" spans="1:17" s="113" customFormat="1" ht="15" hidden="1">
      <c r="A77" s="302"/>
      <c r="B77" s="152" t="s">
        <v>109</v>
      </c>
      <c r="C77" s="54" t="s">
        <v>24</v>
      </c>
      <c r="D77" s="54" t="s">
        <v>114</v>
      </c>
      <c r="E77" s="153" t="s">
        <v>110</v>
      </c>
      <c r="F77" s="154"/>
      <c r="G77" s="74">
        <f>SUM(H77:M77)</f>
        <v>0</v>
      </c>
      <c r="H77" s="146">
        <f t="shared" si="17"/>
        <v>0</v>
      </c>
      <c r="I77" s="147">
        <f>SUM(J77:P77)</f>
        <v>0</v>
      </c>
      <c r="J77" s="97">
        <v>0</v>
      </c>
      <c r="K77" s="97">
        <v>0</v>
      </c>
      <c r="L77" s="98">
        <v>0</v>
      </c>
      <c r="M77" s="99"/>
      <c r="N77" s="100"/>
      <c r="O77" s="97"/>
      <c r="P77" s="155">
        <f t="shared" si="30"/>
        <v>0</v>
      </c>
      <c r="Q77" s="155">
        <f t="shared" si="30"/>
        <v>0</v>
      </c>
    </row>
    <row r="78" spans="1:17" s="113" customFormat="1" ht="69" hidden="1">
      <c r="A78" s="302"/>
      <c r="B78" s="156" t="s">
        <v>111</v>
      </c>
      <c r="C78" s="54" t="s">
        <v>24</v>
      </c>
      <c r="D78" s="54" t="s">
        <v>114</v>
      </c>
      <c r="E78" s="54" t="s">
        <v>112</v>
      </c>
      <c r="F78" s="54" t="s">
        <v>39</v>
      </c>
      <c r="G78" s="74">
        <f>SUM(H78:M78)</f>
        <v>0</v>
      </c>
      <c r="H78" s="146">
        <f t="shared" si="17"/>
        <v>0</v>
      </c>
      <c r="I78" s="147">
        <f>SUM(J78:P78)</f>
        <v>0</v>
      </c>
      <c r="J78" s="97">
        <v>0</v>
      </c>
      <c r="K78" s="97">
        <v>0</v>
      </c>
      <c r="L78" s="98">
        <v>0</v>
      </c>
      <c r="M78" s="99"/>
      <c r="N78" s="100"/>
      <c r="O78" s="97"/>
      <c r="P78" s="132">
        <v>0</v>
      </c>
      <c r="Q78" s="132">
        <v>0</v>
      </c>
    </row>
    <row r="79" spans="1:17" s="113" customFormat="1" ht="14.25" hidden="1">
      <c r="A79" s="302"/>
      <c r="B79" s="157" t="s">
        <v>115</v>
      </c>
      <c r="C79" s="158"/>
      <c r="D79" s="158"/>
      <c r="E79" s="158"/>
      <c r="F79" s="158"/>
      <c r="G79" s="159">
        <v>0</v>
      </c>
      <c r="H79" s="160"/>
      <c r="I79" s="159">
        <v>281.1</v>
      </c>
      <c r="J79" s="161"/>
      <c r="K79" s="161"/>
      <c r="L79" s="162"/>
      <c r="M79" s="163"/>
      <c r="N79" s="164"/>
      <c r="O79" s="161"/>
      <c r="P79" s="165">
        <v>281.1</v>
      </c>
      <c r="Q79" s="165">
        <v>281.1</v>
      </c>
    </row>
    <row r="80" spans="1:17" s="113" customFormat="1" ht="27" hidden="1">
      <c r="A80" s="302"/>
      <c r="B80" s="157" t="s">
        <v>116</v>
      </c>
      <c r="C80" s="158"/>
      <c r="D80" s="158"/>
      <c r="E80" s="158"/>
      <c r="F80" s="158"/>
      <c r="G80" s="159">
        <v>0</v>
      </c>
      <c r="H80" s="159">
        <v>0</v>
      </c>
      <c r="I80" s="159">
        <v>0</v>
      </c>
      <c r="J80" s="161"/>
      <c r="K80" s="161"/>
      <c r="L80" s="162"/>
      <c r="M80" s="163"/>
      <c r="N80" s="164"/>
      <c r="O80" s="161"/>
      <c r="P80" s="159">
        <v>0</v>
      </c>
      <c r="Q80" s="159">
        <v>0</v>
      </c>
    </row>
    <row r="81" spans="1:17" s="77" customFormat="1" ht="27">
      <c r="A81" s="302"/>
      <c r="B81" s="72" t="s">
        <v>113</v>
      </c>
      <c r="C81" s="73" t="s">
        <v>24</v>
      </c>
      <c r="D81" s="73" t="s">
        <v>114</v>
      </c>
      <c r="E81" s="73"/>
      <c r="F81" s="73"/>
      <c r="G81" s="74"/>
      <c r="H81" s="55">
        <f aca="true" t="shared" si="31" ref="H81:H142">SUM(I81:O81)</f>
        <v>10</v>
      </c>
      <c r="I81" s="74">
        <f aca="true" t="shared" si="32" ref="I81:Q83">I82</f>
        <v>0</v>
      </c>
      <c r="J81" s="74">
        <f t="shared" si="32"/>
        <v>0</v>
      </c>
      <c r="K81" s="74">
        <f t="shared" si="32"/>
        <v>10</v>
      </c>
      <c r="L81" s="58">
        <f t="shared" si="32"/>
        <v>0</v>
      </c>
      <c r="M81" s="75">
        <f t="shared" si="32"/>
        <v>0</v>
      </c>
      <c r="N81" s="76">
        <f t="shared" si="32"/>
        <v>0</v>
      </c>
      <c r="O81" s="74">
        <f t="shared" si="32"/>
        <v>0</v>
      </c>
      <c r="P81" s="55">
        <f t="shared" si="32"/>
        <v>0</v>
      </c>
      <c r="Q81" s="55">
        <f t="shared" si="32"/>
        <v>0</v>
      </c>
    </row>
    <row r="82" spans="1:17" s="113" customFormat="1" ht="13.5">
      <c r="A82" s="302"/>
      <c r="B82" s="137" t="s">
        <v>82</v>
      </c>
      <c r="C82" s="79" t="s">
        <v>24</v>
      </c>
      <c r="D82" s="79" t="s">
        <v>114</v>
      </c>
      <c r="E82" s="79" t="s">
        <v>41</v>
      </c>
      <c r="F82" s="79"/>
      <c r="G82" s="74"/>
      <c r="H82" s="81">
        <f t="shared" si="31"/>
        <v>10</v>
      </c>
      <c r="I82" s="74">
        <f t="shared" si="32"/>
        <v>0</v>
      </c>
      <c r="J82" s="74">
        <f t="shared" si="32"/>
        <v>0</v>
      </c>
      <c r="K82" s="74">
        <f t="shared" si="32"/>
        <v>10</v>
      </c>
      <c r="L82" s="58">
        <f t="shared" si="32"/>
        <v>0</v>
      </c>
      <c r="M82" s="75">
        <f t="shared" si="32"/>
        <v>0</v>
      </c>
      <c r="N82" s="76">
        <f t="shared" si="32"/>
        <v>0</v>
      </c>
      <c r="O82" s="74">
        <f t="shared" si="32"/>
        <v>0</v>
      </c>
      <c r="P82" s="55">
        <f t="shared" si="32"/>
        <v>0</v>
      </c>
      <c r="Q82" s="55">
        <f t="shared" si="32"/>
        <v>0</v>
      </c>
    </row>
    <row r="83" spans="1:17" s="113" customFormat="1" ht="27">
      <c r="A83" s="302"/>
      <c r="B83" s="78" t="s">
        <v>42</v>
      </c>
      <c r="C83" s="79" t="s">
        <v>24</v>
      </c>
      <c r="D83" s="79" t="s">
        <v>114</v>
      </c>
      <c r="E83" s="79" t="s">
        <v>43</v>
      </c>
      <c r="F83" s="79"/>
      <c r="G83" s="74"/>
      <c r="H83" s="81">
        <f t="shared" si="31"/>
        <v>10</v>
      </c>
      <c r="I83" s="74">
        <f t="shared" si="32"/>
        <v>0</v>
      </c>
      <c r="J83" s="74">
        <f t="shared" si="32"/>
        <v>0</v>
      </c>
      <c r="K83" s="74">
        <f t="shared" si="32"/>
        <v>10</v>
      </c>
      <c r="L83" s="58">
        <f t="shared" si="32"/>
        <v>0</v>
      </c>
      <c r="M83" s="75">
        <f t="shared" si="32"/>
        <v>0</v>
      </c>
      <c r="N83" s="76">
        <f t="shared" si="32"/>
        <v>0</v>
      </c>
      <c r="O83" s="74">
        <f t="shared" si="32"/>
        <v>0</v>
      </c>
      <c r="P83" s="55">
        <f t="shared" si="32"/>
        <v>0</v>
      </c>
      <c r="Q83" s="55">
        <f t="shared" si="32"/>
        <v>0</v>
      </c>
    </row>
    <row r="84" spans="1:17" s="113" customFormat="1" ht="69">
      <c r="A84" s="302"/>
      <c r="B84" s="78" t="s">
        <v>117</v>
      </c>
      <c r="C84" s="79" t="s">
        <v>24</v>
      </c>
      <c r="D84" s="79" t="s">
        <v>114</v>
      </c>
      <c r="E84" s="79" t="s">
        <v>118</v>
      </c>
      <c r="F84" s="79" t="s">
        <v>31</v>
      </c>
      <c r="G84" s="74"/>
      <c r="H84" s="81">
        <f t="shared" si="31"/>
        <v>10</v>
      </c>
      <c r="I84" s="80">
        <v>0</v>
      </c>
      <c r="J84" s="80"/>
      <c r="K84" s="80">
        <v>10</v>
      </c>
      <c r="L84" s="82"/>
      <c r="M84" s="83"/>
      <c r="N84" s="84"/>
      <c r="O84" s="80"/>
      <c r="P84" s="81">
        <v>0</v>
      </c>
      <c r="Q84" s="81">
        <v>0</v>
      </c>
    </row>
    <row r="85" spans="1:17" s="77" customFormat="1" ht="13.5">
      <c r="A85" s="302"/>
      <c r="B85" s="116" t="s">
        <v>119</v>
      </c>
      <c r="C85" s="117" t="s">
        <v>26</v>
      </c>
      <c r="D85" s="117"/>
      <c r="E85" s="117"/>
      <c r="F85" s="117"/>
      <c r="G85" s="55">
        <f>G86+G99</f>
        <v>4355.665</v>
      </c>
      <c r="H85" s="56">
        <f t="shared" si="31"/>
        <v>14592.57952</v>
      </c>
      <c r="I85" s="166">
        <f>I86+I99</f>
        <v>4274.74</v>
      </c>
      <c r="J85" s="167">
        <f>J86+J99</f>
        <v>989.8253</v>
      </c>
      <c r="K85" s="168">
        <f>K86+K99</f>
        <v>899.635</v>
      </c>
      <c r="L85" s="169">
        <f>L86+L99</f>
        <v>7742.25681</v>
      </c>
      <c r="M85" s="170">
        <f>M99+M86+M95</f>
        <v>395.8515</v>
      </c>
      <c r="N85" s="171">
        <f>N86+N99</f>
        <v>290.27091</v>
      </c>
      <c r="O85" s="168">
        <f>O86+O99</f>
        <v>0</v>
      </c>
      <c r="P85" s="166">
        <f>P86+P99</f>
        <v>3893.94</v>
      </c>
      <c r="Q85" s="166">
        <f>Q86+Q99</f>
        <v>4230.9400000000005</v>
      </c>
    </row>
    <row r="86" spans="1:17" s="77" customFormat="1" ht="13.5">
      <c r="A86" s="302"/>
      <c r="B86" s="116" t="s">
        <v>120</v>
      </c>
      <c r="C86" s="117" t="s">
        <v>26</v>
      </c>
      <c r="D86" s="117" t="s">
        <v>22</v>
      </c>
      <c r="E86" s="117"/>
      <c r="F86" s="117"/>
      <c r="G86" s="172">
        <f>G87+G92</f>
        <v>165</v>
      </c>
      <c r="H86" s="173">
        <f t="shared" si="31"/>
        <v>280.6985</v>
      </c>
      <c r="I86" s="174">
        <f>I87+I92</f>
        <v>157.5</v>
      </c>
      <c r="J86" s="175">
        <f>J87+J92</f>
        <v>115.3223</v>
      </c>
      <c r="K86" s="175">
        <f>K87+K92</f>
        <v>0</v>
      </c>
      <c r="L86" s="176">
        <f>L87+L92</f>
        <v>12.55981</v>
      </c>
      <c r="M86" s="177">
        <f>M87+M92</f>
        <v>0</v>
      </c>
      <c r="N86" s="134">
        <f>N87</f>
        <v>-4.68361</v>
      </c>
      <c r="O86" s="175">
        <f>O87</f>
        <v>0</v>
      </c>
      <c r="P86" s="174">
        <f>P87+P92</f>
        <v>157.5</v>
      </c>
      <c r="Q86" s="174">
        <f>Q87+Q92</f>
        <v>157.5</v>
      </c>
    </row>
    <row r="87" spans="1:17" s="113" customFormat="1" ht="54.75">
      <c r="A87" s="302"/>
      <c r="B87" s="121" t="s">
        <v>121</v>
      </c>
      <c r="C87" s="119" t="s">
        <v>26</v>
      </c>
      <c r="D87" s="119" t="s">
        <v>22</v>
      </c>
      <c r="E87" s="119" t="s">
        <v>22</v>
      </c>
      <c r="F87" s="119"/>
      <c r="G87" s="91">
        <f>G88+G90</f>
        <v>165</v>
      </c>
      <c r="H87" s="178">
        <f t="shared" si="31"/>
        <v>280.6985</v>
      </c>
      <c r="I87" s="111">
        <f>I88+I90</f>
        <v>157.5</v>
      </c>
      <c r="J87" s="179">
        <f>J88+J90</f>
        <v>115.3223</v>
      </c>
      <c r="K87" s="107">
        <f>K88+K90</f>
        <v>0</v>
      </c>
      <c r="L87" s="180">
        <f>L88+L90</f>
        <v>12.55981</v>
      </c>
      <c r="M87" s="109">
        <f>M88+M90</f>
        <v>0</v>
      </c>
      <c r="N87" s="110">
        <f>N90</f>
        <v>-4.68361</v>
      </c>
      <c r="O87" s="107">
        <f>O90</f>
        <v>0</v>
      </c>
      <c r="P87" s="111">
        <f>P88+P90</f>
        <v>157.5</v>
      </c>
      <c r="Q87" s="111">
        <f>Q88+Q90</f>
        <v>157.5</v>
      </c>
    </row>
    <row r="88" spans="1:17" s="113" customFormat="1" ht="27">
      <c r="A88" s="302"/>
      <c r="B88" s="181" t="s">
        <v>122</v>
      </c>
      <c r="C88" s="119" t="s">
        <v>26</v>
      </c>
      <c r="D88" s="119" t="s">
        <v>22</v>
      </c>
      <c r="E88" s="119" t="s">
        <v>123</v>
      </c>
      <c r="F88" s="119"/>
      <c r="G88" s="182"/>
      <c r="H88" s="112">
        <f t="shared" si="31"/>
        <v>127.88211</v>
      </c>
      <c r="I88" s="111"/>
      <c r="J88" s="107">
        <f aca="true" t="shared" si="33" ref="J88:O88">J89</f>
        <v>115.3223</v>
      </c>
      <c r="K88" s="107">
        <f t="shared" si="33"/>
        <v>0</v>
      </c>
      <c r="L88" s="180">
        <f t="shared" si="33"/>
        <v>12.55981</v>
      </c>
      <c r="M88" s="109">
        <f t="shared" si="33"/>
        <v>0</v>
      </c>
      <c r="N88" s="110">
        <f t="shared" si="33"/>
        <v>0</v>
      </c>
      <c r="O88" s="107">
        <f t="shared" si="33"/>
        <v>0</v>
      </c>
      <c r="P88" s="81">
        <f>SUM(Q88:V88)</f>
        <v>0</v>
      </c>
      <c r="Q88" s="81">
        <f>SUM(R88:W88)</f>
        <v>0</v>
      </c>
    </row>
    <row r="89" spans="1:17" s="113" customFormat="1" ht="54.75">
      <c r="A89" s="302"/>
      <c r="B89" s="121" t="s">
        <v>124</v>
      </c>
      <c r="C89" s="119" t="s">
        <v>26</v>
      </c>
      <c r="D89" s="119" t="s">
        <v>22</v>
      </c>
      <c r="E89" s="119" t="s">
        <v>125</v>
      </c>
      <c r="F89" s="119" t="s">
        <v>31</v>
      </c>
      <c r="G89" s="182"/>
      <c r="H89" s="112">
        <f t="shared" si="31"/>
        <v>127.88211</v>
      </c>
      <c r="I89" s="111"/>
      <c r="J89" s="107">
        <v>115.3223</v>
      </c>
      <c r="K89" s="107"/>
      <c r="L89" s="180">
        <v>12.55981</v>
      </c>
      <c r="M89" s="109"/>
      <c r="N89" s="110"/>
      <c r="O89" s="107"/>
      <c r="P89" s="111">
        <v>0</v>
      </c>
      <c r="Q89" s="111">
        <v>0</v>
      </c>
    </row>
    <row r="90" spans="1:17" s="113" customFormat="1" ht="43.5" customHeight="1">
      <c r="A90" s="302"/>
      <c r="B90" s="181" t="s">
        <v>126</v>
      </c>
      <c r="C90" s="119" t="s">
        <v>26</v>
      </c>
      <c r="D90" s="119" t="s">
        <v>22</v>
      </c>
      <c r="E90" s="119" t="s">
        <v>127</v>
      </c>
      <c r="F90" s="119"/>
      <c r="G90" s="91">
        <f>G91</f>
        <v>165</v>
      </c>
      <c r="H90" s="112">
        <f t="shared" si="31"/>
        <v>152.81639</v>
      </c>
      <c r="I90" s="111">
        <f>I91</f>
        <v>157.5</v>
      </c>
      <c r="J90" s="107">
        <f>J91</f>
        <v>0</v>
      </c>
      <c r="K90" s="107">
        <f>K91</f>
        <v>0</v>
      </c>
      <c r="L90" s="108">
        <f>L91</f>
        <v>0</v>
      </c>
      <c r="M90" s="109"/>
      <c r="N90" s="110">
        <f>N91</f>
        <v>-4.68361</v>
      </c>
      <c r="O90" s="107">
        <f>O91</f>
        <v>0</v>
      </c>
      <c r="P90" s="111">
        <f>P91</f>
        <v>157.5</v>
      </c>
      <c r="Q90" s="111">
        <f>Q91</f>
        <v>157.5</v>
      </c>
    </row>
    <row r="91" spans="1:17" s="113" customFormat="1" ht="54.75">
      <c r="A91" s="302"/>
      <c r="B91" s="121" t="s">
        <v>128</v>
      </c>
      <c r="C91" s="119" t="s">
        <v>26</v>
      </c>
      <c r="D91" s="119" t="s">
        <v>22</v>
      </c>
      <c r="E91" s="119" t="s">
        <v>129</v>
      </c>
      <c r="F91" s="119" t="s">
        <v>31</v>
      </c>
      <c r="G91" s="81">
        <v>165</v>
      </c>
      <c r="H91" s="112">
        <f t="shared" si="31"/>
        <v>152.81639</v>
      </c>
      <c r="I91" s="106">
        <v>157.5</v>
      </c>
      <c r="J91" s="107">
        <v>0</v>
      </c>
      <c r="K91" s="107">
        <v>0</v>
      </c>
      <c r="L91" s="108">
        <v>0</v>
      </c>
      <c r="M91" s="109"/>
      <c r="N91" s="110">
        <v>-4.68361</v>
      </c>
      <c r="O91" s="107"/>
      <c r="P91" s="111">
        <v>157.5</v>
      </c>
      <c r="Q91" s="111">
        <v>157.5</v>
      </c>
    </row>
    <row r="92" spans="1:17" s="113" customFormat="1" ht="13.5" hidden="1">
      <c r="A92" s="302"/>
      <c r="B92" s="156" t="s">
        <v>130</v>
      </c>
      <c r="C92" s="130" t="s">
        <v>26</v>
      </c>
      <c r="D92" s="130" t="s">
        <v>22</v>
      </c>
      <c r="E92" s="130" t="s">
        <v>41</v>
      </c>
      <c r="F92" s="130"/>
      <c r="G92" s="136">
        <f>SUM(H92:M92)</f>
        <v>0</v>
      </c>
      <c r="H92" s="81">
        <f t="shared" si="31"/>
        <v>0</v>
      </c>
      <c r="I92" s="147">
        <f>SUM(J92:P92)</f>
        <v>0</v>
      </c>
      <c r="J92" s="101">
        <f aca="true" t="shared" si="34" ref="J92:L93">J93</f>
        <v>0</v>
      </c>
      <c r="K92" s="101">
        <f t="shared" si="34"/>
        <v>0</v>
      </c>
      <c r="L92" s="102">
        <f t="shared" si="34"/>
        <v>0</v>
      </c>
      <c r="M92" s="103"/>
      <c r="N92" s="104"/>
      <c r="O92" s="101"/>
      <c r="P92" s="132"/>
      <c r="Q92" s="132"/>
    </row>
    <row r="93" spans="1:17" s="113" customFormat="1" ht="27" hidden="1">
      <c r="A93" s="302"/>
      <c r="B93" s="156" t="s">
        <v>42</v>
      </c>
      <c r="C93" s="130" t="s">
        <v>26</v>
      </c>
      <c r="D93" s="130" t="s">
        <v>22</v>
      </c>
      <c r="E93" s="130" t="s">
        <v>43</v>
      </c>
      <c r="F93" s="130"/>
      <c r="G93" s="136">
        <f>SUM(H93:M93)</f>
        <v>0</v>
      </c>
      <c r="H93" s="81">
        <f t="shared" si="31"/>
        <v>0</v>
      </c>
      <c r="I93" s="147">
        <f>SUM(J93:P93)</f>
        <v>0</v>
      </c>
      <c r="J93" s="101">
        <f t="shared" si="34"/>
        <v>0</v>
      </c>
      <c r="K93" s="101">
        <f t="shared" si="34"/>
        <v>0</v>
      </c>
      <c r="L93" s="102">
        <f t="shared" si="34"/>
        <v>0</v>
      </c>
      <c r="M93" s="103"/>
      <c r="N93" s="104"/>
      <c r="O93" s="101"/>
      <c r="P93" s="132"/>
      <c r="Q93" s="132"/>
    </row>
    <row r="94" spans="1:17" s="113" customFormat="1" ht="69" hidden="1">
      <c r="A94" s="302"/>
      <c r="B94" s="129" t="s">
        <v>131</v>
      </c>
      <c r="C94" s="130" t="s">
        <v>26</v>
      </c>
      <c r="D94" s="130" t="s">
        <v>22</v>
      </c>
      <c r="E94" s="130" t="s">
        <v>132</v>
      </c>
      <c r="F94" s="130" t="s">
        <v>133</v>
      </c>
      <c r="G94" s="136">
        <f>SUM(H94:M94)</f>
        <v>0</v>
      </c>
      <c r="H94" s="81">
        <f t="shared" si="31"/>
        <v>0</v>
      </c>
      <c r="I94" s="147">
        <f>SUM(J94:P94)</f>
        <v>0</v>
      </c>
      <c r="J94" s="101">
        <v>0</v>
      </c>
      <c r="K94" s="101">
        <v>0</v>
      </c>
      <c r="L94" s="102">
        <v>0</v>
      </c>
      <c r="M94" s="103"/>
      <c r="N94" s="104"/>
      <c r="O94" s="101"/>
      <c r="P94" s="132"/>
      <c r="Q94" s="132"/>
    </row>
    <row r="95" spans="1:17" s="77" customFormat="1" ht="13.5">
      <c r="A95" s="302"/>
      <c r="B95" s="116" t="s">
        <v>134</v>
      </c>
      <c r="C95" s="117" t="s">
        <v>26</v>
      </c>
      <c r="D95" s="117" t="s">
        <v>86</v>
      </c>
      <c r="E95" s="117"/>
      <c r="F95" s="117"/>
      <c r="G95" s="168"/>
      <c r="H95" s="58">
        <f t="shared" si="31"/>
        <v>197.49</v>
      </c>
      <c r="I95" s="168"/>
      <c r="J95" s="175"/>
      <c r="K95" s="175"/>
      <c r="L95" s="183"/>
      <c r="M95" s="177">
        <f>M96</f>
        <v>197.49</v>
      </c>
      <c r="N95" s="134"/>
      <c r="O95" s="175"/>
      <c r="P95" s="55">
        <f aca="true" t="shared" si="35" ref="P95:Q97">SUM(Q95:V95)</f>
        <v>0</v>
      </c>
      <c r="Q95" s="55">
        <f t="shared" si="35"/>
        <v>0</v>
      </c>
    </row>
    <row r="96" spans="1:17" s="113" customFormat="1" ht="41.25">
      <c r="A96" s="302"/>
      <c r="B96" s="121" t="s">
        <v>135</v>
      </c>
      <c r="C96" s="119" t="s">
        <v>26</v>
      </c>
      <c r="D96" s="119" t="s">
        <v>86</v>
      </c>
      <c r="E96" s="119" t="s">
        <v>88</v>
      </c>
      <c r="F96" s="130"/>
      <c r="G96" s="136"/>
      <c r="H96" s="82">
        <f t="shared" si="31"/>
        <v>197.49</v>
      </c>
      <c r="I96" s="147"/>
      <c r="J96" s="101"/>
      <c r="K96" s="101"/>
      <c r="L96" s="102"/>
      <c r="M96" s="109">
        <f>M97</f>
        <v>197.49</v>
      </c>
      <c r="N96" s="104"/>
      <c r="O96" s="101"/>
      <c r="P96" s="81">
        <f t="shared" si="35"/>
        <v>0</v>
      </c>
      <c r="Q96" s="81">
        <f t="shared" si="35"/>
        <v>0</v>
      </c>
    </row>
    <row r="97" spans="1:17" s="113" customFormat="1" ht="27">
      <c r="A97" s="302"/>
      <c r="B97" s="121" t="s">
        <v>136</v>
      </c>
      <c r="C97" s="119" t="s">
        <v>26</v>
      </c>
      <c r="D97" s="119" t="s">
        <v>86</v>
      </c>
      <c r="E97" s="119" t="s">
        <v>137</v>
      </c>
      <c r="F97" s="130"/>
      <c r="G97" s="136"/>
      <c r="H97" s="82">
        <f t="shared" si="31"/>
        <v>197.49</v>
      </c>
      <c r="I97" s="147"/>
      <c r="J97" s="101"/>
      <c r="K97" s="101"/>
      <c r="L97" s="102"/>
      <c r="M97" s="109">
        <f>M98</f>
        <v>197.49</v>
      </c>
      <c r="N97" s="104"/>
      <c r="O97" s="101"/>
      <c r="P97" s="81">
        <f t="shared" si="35"/>
        <v>0</v>
      </c>
      <c r="Q97" s="81">
        <f t="shared" si="35"/>
        <v>0</v>
      </c>
    </row>
    <row r="98" spans="1:17" s="113" customFormat="1" ht="54.75">
      <c r="A98" s="302"/>
      <c r="B98" s="121" t="s">
        <v>138</v>
      </c>
      <c r="C98" s="119" t="s">
        <v>26</v>
      </c>
      <c r="D98" s="119" t="s">
        <v>86</v>
      </c>
      <c r="E98" s="119" t="s">
        <v>139</v>
      </c>
      <c r="F98" s="119" t="s">
        <v>31</v>
      </c>
      <c r="G98" s="168"/>
      <c r="H98" s="82">
        <f t="shared" si="31"/>
        <v>197.49</v>
      </c>
      <c r="I98" s="147"/>
      <c r="J98" s="101"/>
      <c r="K98" s="101"/>
      <c r="L98" s="102"/>
      <c r="M98" s="109">
        <f>127.49+70</f>
        <v>197.49</v>
      </c>
      <c r="N98" s="104"/>
      <c r="O98" s="101"/>
      <c r="P98" s="111">
        <v>0</v>
      </c>
      <c r="Q98" s="111">
        <v>0</v>
      </c>
    </row>
    <row r="99" spans="1:17" s="77" customFormat="1" ht="13.5">
      <c r="A99" s="302"/>
      <c r="B99" s="116" t="s">
        <v>140</v>
      </c>
      <c r="C99" s="117" t="s">
        <v>26</v>
      </c>
      <c r="D99" s="117" t="s">
        <v>88</v>
      </c>
      <c r="E99" s="117"/>
      <c r="F99" s="117"/>
      <c r="G99" s="172">
        <f>G100+G117</f>
        <v>4190.665</v>
      </c>
      <c r="H99" s="56">
        <f t="shared" si="31"/>
        <v>14114.39102</v>
      </c>
      <c r="I99" s="183">
        <f aca="true" t="shared" si="36" ref="I99:Q99">I100+I117</f>
        <v>4117.24</v>
      </c>
      <c r="J99" s="175">
        <f t="shared" si="36"/>
        <v>874.5029999999999</v>
      </c>
      <c r="K99" s="175">
        <f t="shared" si="36"/>
        <v>899.635</v>
      </c>
      <c r="L99" s="184">
        <f t="shared" si="36"/>
        <v>7729.697</v>
      </c>
      <c r="M99" s="185">
        <f t="shared" si="36"/>
        <v>198.36149999999998</v>
      </c>
      <c r="N99" s="134">
        <f t="shared" si="36"/>
        <v>294.95452</v>
      </c>
      <c r="O99" s="175">
        <f t="shared" si="36"/>
        <v>0</v>
      </c>
      <c r="P99" s="183">
        <f t="shared" si="36"/>
        <v>3736.44</v>
      </c>
      <c r="Q99" s="183">
        <f t="shared" si="36"/>
        <v>4073.44</v>
      </c>
    </row>
    <row r="100" spans="1:17" s="113" customFormat="1" ht="41.25">
      <c r="A100" s="302"/>
      <c r="B100" s="121" t="s">
        <v>135</v>
      </c>
      <c r="C100" s="119" t="s">
        <v>26</v>
      </c>
      <c r="D100" s="119" t="s">
        <v>88</v>
      </c>
      <c r="E100" s="119" t="s">
        <v>88</v>
      </c>
      <c r="F100" s="119"/>
      <c r="G100" s="91">
        <f>G101+G104+G106+G108+G112</f>
        <v>4190.665</v>
      </c>
      <c r="H100" s="112">
        <f t="shared" si="31"/>
        <v>14114.39102</v>
      </c>
      <c r="I100" s="108">
        <f>I101+I104+I106+I108+I112</f>
        <v>4097.24</v>
      </c>
      <c r="J100" s="107">
        <f>J101+J104+J106+J108+J112</f>
        <v>874.5029999999999</v>
      </c>
      <c r="K100" s="107">
        <f>K101+K104+K106+K108+K112</f>
        <v>899.635</v>
      </c>
      <c r="L100" s="108">
        <f>L101+L104+L106+L108+L112+L115</f>
        <v>7749.697</v>
      </c>
      <c r="M100" s="186">
        <f>M101+M104+M106+M108+M110+M112+M115</f>
        <v>198.36149999999998</v>
      </c>
      <c r="N100" s="110">
        <f>N101+N104+N106+N108+N112</f>
        <v>294.95452</v>
      </c>
      <c r="O100" s="107">
        <f>O101+O104+O106+O108+O112</f>
        <v>0</v>
      </c>
      <c r="P100" s="108">
        <f>P101+P104+P106+P108+P112</f>
        <v>3736.44</v>
      </c>
      <c r="Q100" s="108">
        <f>Q101+Q104+Q106+Q108+Q112</f>
        <v>4073.44</v>
      </c>
    </row>
    <row r="101" spans="1:17" s="113" customFormat="1" ht="13.5">
      <c r="A101" s="302"/>
      <c r="B101" s="187" t="s">
        <v>141</v>
      </c>
      <c r="C101" s="119" t="s">
        <v>26</v>
      </c>
      <c r="D101" s="119" t="s">
        <v>88</v>
      </c>
      <c r="E101" s="119" t="s">
        <v>142</v>
      </c>
      <c r="F101" s="119"/>
      <c r="G101" s="91">
        <f>G102+G103</f>
        <v>2771.065</v>
      </c>
      <c r="H101" s="86">
        <f t="shared" si="31"/>
        <v>3645.2369999999996</v>
      </c>
      <c r="I101" s="108">
        <f>I102+I103</f>
        <v>3318.64</v>
      </c>
      <c r="J101" s="107">
        <f>J102+J103</f>
        <v>259.64</v>
      </c>
      <c r="K101" s="107">
        <f>K102+K103</f>
        <v>0</v>
      </c>
      <c r="L101" s="108">
        <f>L102+L103</f>
        <v>0</v>
      </c>
      <c r="M101" s="109">
        <f>M102+M103</f>
        <v>0</v>
      </c>
      <c r="N101" s="110">
        <f>N102</f>
        <v>66.957</v>
      </c>
      <c r="O101" s="107">
        <f>O102</f>
        <v>0</v>
      </c>
      <c r="P101" s="108">
        <f>P102+P103</f>
        <v>2936.84</v>
      </c>
      <c r="Q101" s="108">
        <f>Q102+Q103</f>
        <v>3294.84</v>
      </c>
    </row>
    <row r="102" spans="1:17" s="113" customFormat="1" ht="62.25" customHeight="1">
      <c r="A102" s="302"/>
      <c r="B102" s="121" t="s">
        <v>138</v>
      </c>
      <c r="C102" s="119" t="s">
        <v>26</v>
      </c>
      <c r="D102" s="119" t="s">
        <v>88</v>
      </c>
      <c r="E102" s="119" t="s">
        <v>143</v>
      </c>
      <c r="F102" s="119" t="s">
        <v>31</v>
      </c>
      <c r="G102" s="81">
        <v>2771.065</v>
      </c>
      <c r="H102" s="86">
        <f t="shared" si="31"/>
        <v>3645.2369999999996</v>
      </c>
      <c r="I102" s="188">
        <v>3318.64</v>
      </c>
      <c r="J102" s="107">
        <v>259.64</v>
      </c>
      <c r="K102" s="107">
        <v>0</v>
      </c>
      <c r="L102" s="108">
        <v>0</v>
      </c>
      <c r="M102" s="109"/>
      <c r="N102" s="189">
        <v>66.957</v>
      </c>
      <c r="O102" s="107"/>
      <c r="P102" s="108">
        <v>2936.84</v>
      </c>
      <c r="Q102" s="108">
        <v>3294.84</v>
      </c>
    </row>
    <row r="103" spans="1:17" s="113" customFormat="1" ht="41.25" hidden="1">
      <c r="A103" s="302"/>
      <c r="B103" s="121" t="s">
        <v>144</v>
      </c>
      <c r="C103" s="119" t="s">
        <v>26</v>
      </c>
      <c r="D103" s="119" t="s">
        <v>88</v>
      </c>
      <c r="E103" s="119" t="s">
        <v>143</v>
      </c>
      <c r="F103" s="119" t="s">
        <v>39</v>
      </c>
      <c r="G103" s="95">
        <f>SUM(H103:M103)</f>
        <v>0</v>
      </c>
      <c r="H103" s="81">
        <f t="shared" si="31"/>
        <v>0</v>
      </c>
      <c r="I103" s="188">
        <f>SUM(J103:P103)</f>
        <v>0</v>
      </c>
      <c r="J103" s="107"/>
      <c r="K103" s="107"/>
      <c r="L103" s="108"/>
      <c r="M103" s="109"/>
      <c r="N103" s="110"/>
      <c r="O103" s="107"/>
      <c r="P103" s="111">
        <v>0</v>
      </c>
      <c r="Q103" s="111">
        <v>0</v>
      </c>
    </row>
    <row r="104" spans="1:17" s="113" customFormat="1" ht="27">
      <c r="A104" s="302"/>
      <c r="B104" s="181" t="s">
        <v>145</v>
      </c>
      <c r="C104" s="119" t="s">
        <v>26</v>
      </c>
      <c r="D104" s="119" t="s">
        <v>88</v>
      </c>
      <c r="E104" s="119" t="s">
        <v>146</v>
      </c>
      <c r="F104" s="119"/>
      <c r="G104" s="91">
        <f>G105</f>
        <v>100</v>
      </c>
      <c r="H104" s="112">
        <f t="shared" si="31"/>
        <v>507.91722</v>
      </c>
      <c r="I104" s="111">
        <f aca="true" t="shared" si="37" ref="I104:Q104">I105</f>
        <v>100</v>
      </c>
      <c r="J104" s="107">
        <f t="shared" si="37"/>
        <v>108.61722</v>
      </c>
      <c r="K104" s="107">
        <f t="shared" si="37"/>
        <v>6.5</v>
      </c>
      <c r="L104" s="108">
        <f t="shared" si="37"/>
        <v>144.1</v>
      </c>
      <c r="M104" s="109">
        <f t="shared" si="37"/>
        <v>93.7</v>
      </c>
      <c r="N104" s="110">
        <f t="shared" si="37"/>
        <v>55</v>
      </c>
      <c r="O104" s="107">
        <f t="shared" si="37"/>
        <v>0</v>
      </c>
      <c r="P104" s="111">
        <f t="shared" si="37"/>
        <v>50</v>
      </c>
      <c r="Q104" s="111">
        <f t="shared" si="37"/>
        <v>50</v>
      </c>
    </row>
    <row r="105" spans="1:17" s="113" customFormat="1" ht="54.75">
      <c r="A105" s="302"/>
      <c r="B105" s="121" t="s">
        <v>147</v>
      </c>
      <c r="C105" s="119" t="s">
        <v>26</v>
      </c>
      <c r="D105" s="119" t="s">
        <v>88</v>
      </c>
      <c r="E105" s="119" t="s">
        <v>148</v>
      </c>
      <c r="F105" s="119" t="s">
        <v>31</v>
      </c>
      <c r="G105" s="81">
        <v>100</v>
      </c>
      <c r="H105" s="112">
        <f t="shared" si="31"/>
        <v>507.91722</v>
      </c>
      <c r="I105" s="106">
        <v>100</v>
      </c>
      <c r="J105" s="107">
        <v>108.61722</v>
      </c>
      <c r="K105" s="107">
        <v>6.5</v>
      </c>
      <c r="L105" s="108">
        <v>144.1</v>
      </c>
      <c r="M105" s="109">
        <f>66.2+27.5</f>
        <v>93.7</v>
      </c>
      <c r="N105" s="110">
        <f>7.5+3.5+20+24</f>
        <v>55</v>
      </c>
      <c r="O105" s="107"/>
      <c r="P105" s="111">
        <v>50</v>
      </c>
      <c r="Q105" s="111">
        <v>50</v>
      </c>
    </row>
    <row r="106" spans="1:17" s="113" customFormat="1" ht="27">
      <c r="A106" s="302"/>
      <c r="B106" s="121" t="s">
        <v>149</v>
      </c>
      <c r="C106" s="119" t="s">
        <v>26</v>
      </c>
      <c r="D106" s="119" t="s">
        <v>88</v>
      </c>
      <c r="E106" s="119" t="s">
        <v>150</v>
      </c>
      <c r="F106" s="119"/>
      <c r="G106" s="91">
        <f>G107</f>
        <v>100</v>
      </c>
      <c r="H106" s="190">
        <f t="shared" si="31"/>
        <v>178.964</v>
      </c>
      <c r="I106" s="111">
        <f aca="true" t="shared" si="38" ref="I106:Q106">I107</f>
        <v>50</v>
      </c>
      <c r="J106" s="107">
        <f t="shared" si="38"/>
        <v>420</v>
      </c>
      <c r="K106" s="107">
        <f t="shared" si="38"/>
        <v>0</v>
      </c>
      <c r="L106" s="108">
        <f t="shared" si="38"/>
        <v>0</v>
      </c>
      <c r="M106" s="109">
        <f t="shared" si="38"/>
        <v>-291.036</v>
      </c>
      <c r="N106" s="110">
        <f t="shared" si="38"/>
        <v>0</v>
      </c>
      <c r="O106" s="107">
        <f t="shared" si="38"/>
        <v>0</v>
      </c>
      <c r="P106" s="111">
        <f t="shared" si="38"/>
        <v>100</v>
      </c>
      <c r="Q106" s="111">
        <f t="shared" si="38"/>
        <v>100</v>
      </c>
    </row>
    <row r="107" spans="1:17" s="113" customFormat="1" ht="54.75">
      <c r="A107" s="302"/>
      <c r="B107" s="121" t="s">
        <v>138</v>
      </c>
      <c r="C107" s="119" t="s">
        <v>26</v>
      </c>
      <c r="D107" s="119" t="s">
        <v>88</v>
      </c>
      <c r="E107" s="119" t="s">
        <v>151</v>
      </c>
      <c r="F107" s="119" t="s">
        <v>31</v>
      </c>
      <c r="G107" s="81">
        <v>100</v>
      </c>
      <c r="H107" s="190">
        <f t="shared" si="31"/>
        <v>178.964</v>
      </c>
      <c r="I107" s="106">
        <v>50</v>
      </c>
      <c r="J107" s="107">
        <v>420</v>
      </c>
      <c r="K107" s="107">
        <v>0</v>
      </c>
      <c r="L107" s="108">
        <v>0</v>
      </c>
      <c r="M107" s="109">
        <f>-70-221.036</f>
        <v>-291.036</v>
      </c>
      <c r="N107" s="110"/>
      <c r="O107" s="107"/>
      <c r="P107" s="111">
        <v>100</v>
      </c>
      <c r="Q107" s="111">
        <v>100</v>
      </c>
    </row>
    <row r="108" spans="1:17" s="113" customFormat="1" ht="27">
      <c r="A108" s="302"/>
      <c r="B108" s="121" t="s">
        <v>152</v>
      </c>
      <c r="C108" s="119" t="s">
        <v>26</v>
      </c>
      <c r="D108" s="119" t="s">
        <v>88</v>
      </c>
      <c r="E108" s="119" t="s">
        <v>153</v>
      </c>
      <c r="F108" s="119"/>
      <c r="G108" s="91">
        <f>G109</f>
        <v>948</v>
      </c>
      <c r="H108" s="178">
        <f t="shared" si="31"/>
        <v>9587.435300000001</v>
      </c>
      <c r="I108" s="111">
        <f aca="true" t="shared" si="39" ref="I108:Q108">I109</f>
        <v>448</v>
      </c>
      <c r="J108" s="107">
        <f t="shared" si="39"/>
        <v>86.24578</v>
      </c>
      <c r="K108" s="107">
        <f t="shared" si="39"/>
        <v>893.135</v>
      </c>
      <c r="L108" s="191">
        <f t="shared" si="39"/>
        <v>7478.107</v>
      </c>
      <c r="M108" s="109">
        <f t="shared" si="39"/>
        <v>508.95</v>
      </c>
      <c r="N108" s="192">
        <f t="shared" si="39"/>
        <v>172.99752</v>
      </c>
      <c r="O108" s="107">
        <f t="shared" si="39"/>
        <v>0</v>
      </c>
      <c r="P108" s="111">
        <f t="shared" si="39"/>
        <v>448</v>
      </c>
      <c r="Q108" s="111">
        <f t="shared" si="39"/>
        <v>448</v>
      </c>
    </row>
    <row r="109" spans="1:17" s="113" customFormat="1" ht="54.75">
      <c r="A109" s="302"/>
      <c r="B109" s="121" t="s">
        <v>138</v>
      </c>
      <c r="C109" s="119" t="s">
        <v>26</v>
      </c>
      <c r="D109" s="119" t="s">
        <v>88</v>
      </c>
      <c r="E109" s="119" t="s">
        <v>154</v>
      </c>
      <c r="F109" s="119" t="s">
        <v>31</v>
      </c>
      <c r="G109" s="81">
        <v>948</v>
      </c>
      <c r="H109" s="178">
        <f t="shared" si="31"/>
        <v>9587.435300000001</v>
      </c>
      <c r="I109" s="106">
        <v>448</v>
      </c>
      <c r="J109" s="107">
        <v>86.24578</v>
      </c>
      <c r="K109" s="107">
        <f>693.135+200</f>
        <v>893.135</v>
      </c>
      <c r="L109" s="191">
        <v>7478.107</v>
      </c>
      <c r="M109" s="109">
        <f>365.95+143</f>
        <v>508.95</v>
      </c>
      <c r="N109" s="192">
        <f>148+(-0.00248)+15+10</f>
        <v>172.99752</v>
      </c>
      <c r="O109" s="107"/>
      <c r="P109" s="106">
        <v>448</v>
      </c>
      <c r="Q109" s="106">
        <v>448</v>
      </c>
    </row>
    <row r="110" spans="1:17" s="113" customFormat="1" ht="27">
      <c r="A110" s="302"/>
      <c r="B110" s="121" t="s">
        <v>155</v>
      </c>
      <c r="C110" s="119" t="s">
        <v>26</v>
      </c>
      <c r="D110" s="119" t="s">
        <v>88</v>
      </c>
      <c r="E110" s="119" t="s">
        <v>156</v>
      </c>
      <c r="F110" s="119"/>
      <c r="G110" s="81"/>
      <c r="H110" s="178">
        <f t="shared" si="31"/>
        <v>14.2375</v>
      </c>
      <c r="I110" s="106"/>
      <c r="J110" s="107"/>
      <c r="K110" s="107"/>
      <c r="L110" s="191"/>
      <c r="M110" s="109">
        <f>M111</f>
        <v>14.2375</v>
      </c>
      <c r="N110" s="110"/>
      <c r="O110" s="107"/>
      <c r="P110" s="81">
        <f>SUM(Q110:V110)</f>
        <v>0</v>
      </c>
      <c r="Q110" s="81">
        <f>SUM(R110:W110)</f>
        <v>0</v>
      </c>
    </row>
    <row r="111" spans="1:17" s="113" customFormat="1" ht="54.75">
      <c r="A111" s="302"/>
      <c r="B111" s="181" t="s">
        <v>138</v>
      </c>
      <c r="C111" s="119" t="s">
        <v>26</v>
      </c>
      <c r="D111" s="119" t="s">
        <v>88</v>
      </c>
      <c r="E111" s="119" t="s">
        <v>157</v>
      </c>
      <c r="F111" s="119" t="s">
        <v>31</v>
      </c>
      <c r="G111" s="81"/>
      <c r="H111" s="178">
        <f t="shared" si="31"/>
        <v>14.2375</v>
      </c>
      <c r="I111" s="106"/>
      <c r="J111" s="107"/>
      <c r="K111" s="107"/>
      <c r="L111" s="191"/>
      <c r="M111" s="109">
        <v>14.2375</v>
      </c>
      <c r="N111" s="110"/>
      <c r="O111" s="107"/>
      <c r="P111" s="106">
        <v>0</v>
      </c>
      <c r="Q111" s="106">
        <v>0</v>
      </c>
    </row>
    <row r="112" spans="1:17" s="113" customFormat="1" ht="41.25">
      <c r="A112" s="302"/>
      <c r="B112" s="121" t="s">
        <v>158</v>
      </c>
      <c r="C112" s="119" t="s">
        <v>26</v>
      </c>
      <c r="D112" s="119" t="s">
        <v>88</v>
      </c>
      <c r="E112" s="119" t="s">
        <v>159</v>
      </c>
      <c r="F112" s="119"/>
      <c r="G112" s="87">
        <f>G113</f>
        <v>271.6</v>
      </c>
      <c r="H112" s="81">
        <f t="shared" si="31"/>
        <v>180.6</v>
      </c>
      <c r="I112" s="107">
        <f>I113</f>
        <v>180.6</v>
      </c>
      <c r="J112" s="107">
        <f>J113</f>
        <v>0</v>
      </c>
      <c r="K112" s="107">
        <f>K113</f>
        <v>0</v>
      </c>
      <c r="L112" s="108">
        <f>L113</f>
        <v>0</v>
      </c>
      <c r="M112" s="109"/>
      <c r="N112" s="110">
        <f>N113</f>
        <v>0</v>
      </c>
      <c r="O112" s="107">
        <f>O113</f>
        <v>0</v>
      </c>
      <c r="P112" s="107">
        <f>P113</f>
        <v>201.6</v>
      </c>
      <c r="Q112" s="107">
        <f>Q113</f>
        <v>180.6</v>
      </c>
    </row>
    <row r="113" spans="1:17" s="113" customFormat="1" ht="69">
      <c r="A113" s="302"/>
      <c r="B113" s="193" t="s">
        <v>160</v>
      </c>
      <c r="C113" s="119" t="s">
        <v>26</v>
      </c>
      <c r="D113" s="119" t="s">
        <v>88</v>
      </c>
      <c r="E113" s="119" t="s">
        <v>161</v>
      </c>
      <c r="F113" s="119" t="s">
        <v>31</v>
      </c>
      <c r="G113" s="81">
        <v>271.6</v>
      </c>
      <c r="H113" s="81">
        <f t="shared" si="31"/>
        <v>180.6</v>
      </c>
      <c r="I113" s="188">
        <v>180.6</v>
      </c>
      <c r="J113" s="107"/>
      <c r="K113" s="107"/>
      <c r="L113" s="108"/>
      <c r="M113" s="109"/>
      <c r="N113" s="110"/>
      <c r="O113" s="107"/>
      <c r="P113" s="106">
        <v>201.6</v>
      </c>
      <c r="Q113" s="106">
        <v>180.6</v>
      </c>
    </row>
    <row r="114" spans="1:17" s="113" customFormat="1" ht="27">
      <c r="A114" s="302"/>
      <c r="B114" s="194" t="s">
        <v>162</v>
      </c>
      <c r="C114" s="195" t="s">
        <v>26</v>
      </c>
      <c r="D114" s="195" t="s">
        <v>88</v>
      </c>
      <c r="E114" s="195" t="s">
        <v>161</v>
      </c>
      <c r="F114" s="195" t="s">
        <v>31</v>
      </c>
      <c r="G114" s="196">
        <v>100</v>
      </c>
      <c r="H114" s="197">
        <f t="shared" si="31"/>
        <v>9</v>
      </c>
      <c r="I114" s="198">
        <v>9</v>
      </c>
      <c r="J114" s="199"/>
      <c r="K114" s="199"/>
      <c r="L114" s="200"/>
      <c r="M114" s="201"/>
      <c r="N114" s="202"/>
      <c r="O114" s="199"/>
      <c r="P114" s="198">
        <v>30</v>
      </c>
      <c r="Q114" s="198">
        <v>9</v>
      </c>
    </row>
    <row r="115" spans="1:17" s="113" customFormat="1" ht="13.5" hidden="1">
      <c r="A115" s="302"/>
      <c r="B115" s="121" t="s">
        <v>163</v>
      </c>
      <c r="C115" s="119" t="s">
        <v>26</v>
      </c>
      <c r="D115" s="119" t="s">
        <v>88</v>
      </c>
      <c r="E115" s="119" t="s">
        <v>137</v>
      </c>
      <c r="F115" s="195"/>
      <c r="G115" s="196"/>
      <c r="H115" s="82">
        <f t="shared" si="31"/>
        <v>0</v>
      </c>
      <c r="I115" s="198"/>
      <c r="J115" s="199"/>
      <c r="K115" s="199"/>
      <c r="L115" s="108">
        <f>L116</f>
        <v>127.49</v>
      </c>
      <c r="M115" s="109">
        <f>M116</f>
        <v>-127.49</v>
      </c>
      <c r="N115" s="202"/>
      <c r="O115" s="199"/>
      <c r="P115" s="106">
        <v>0</v>
      </c>
      <c r="Q115" s="106">
        <v>0</v>
      </c>
    </row>
    <row r="116" spans="1:17" s="113" customFormat="1" ht="54.75" hidden="1">
      <c r="A116" s="302"/>
      <c r="B116" s="121" t="s">
        <v>138</v>
      </c>
      <c r="C116" s="119" t="s">
        <v>26</v>
      </c>
      <c r="D116" s="119" t="s">
        <v>88</v>
      </c>
      <c r="E116" s="119" t="s">
        <v>139</v>
      </c>
      <c r="F116" s="119" t="s">
        <v>31</v>
      </c>
      <c r="G116" s="196"/>
      <c r="H116" s="82">
        <f t="shared" si="31"/>
        <v>0</v>
      </c>
      <c r="I116" s="198"/>
      <c r="J116" s="199"/>
      <c r="K116" s="199"/>
      <c r="L116" s="108">
        <f>101.97+25.52</f>
        <v>127.49</v>
      </c>
      <c r="M116" s="109">
        <v>-127.49</v>
      </c>
      <c r="N116" s="202"/>
      <c r="O116" s="199"/>
      <c r="P116" s="106">
        <v>0</v>
      </c>
      <c r="Q116" s="106">
        <v>0</v>
      </c>
    </row>
    <row r="117" spans="1:17" s="113" customFormat="1" ht="13.5" hidden="1">
      <c r="A117" s="302"/>
      <c r="B117" s="193" t="s">
        <v>40</v>
      </c>
      <c r="C117" s="203" t="s">
        <v>26</v>
      </c>
      <c r="D117" s="203" t="s">
        <v>88</v>
      </c>
      <c r="E117" s="203" t="s">
        <v>41</v>
      </c>
      <c r="F117" s="203"/>
      <c r="G117" s="81">
        <f>G118</f>
        <v>0</v>
      </c>
      <c r="H117" s="81">
        <f t="shared" si="31"/>
        <v>0</v>
      </c>
      <c r="I117" s="106">
        <f aca="true" t="shared" si="40" ref="I117:Q118">I118</f>
        <v>20</v>
      </c>
      <c r="J117" s="106">
        <f t="shared" si="40"/>
        <v>0</v>
      </c>
      <c r="K117" s="106">
        <f t="shared" si="40"/>
        <v>0</v>
      </c>
      <c r="L117" s="204">
        <f t="shared" si="40"/>
        <v>-20</v>
      </c>
      <c r="M117" s="205">
        <f t="shared" si="40"/>
        <v>0</v>
      </c>
      <c r="N117" s="206">
        <f t="shared" si="40"/>
        <v>0</v>
      </c>
      <c r="O117" s="106">
        <f t="shared" si="40"/>
        <v>0</v>
      </c>
      <c r="P117" s="106">
        <f t="shared" si="40"/>
        <v>0</v>
      </c>
      <c r="Q117" s="106">
        <f t="shared" si="40"/>
        <v>0</v>
      </c>
    </row>
    <row r="118" spans="1:17" s="113" customFormat="1" ht="27" hidden="1">
      <c r="A118" s="302"/>
      <c r="B118" s="78" t="s">
        <v>42</v>
      </c>
      <c r="C118" s="203" t="s">
        <v>26</v>
      </c>
      <c r="D118" s="203" t="s">
        <v>88</v>
      </c>
      <c r="E118" s="203" t="s">
        <v>43</v>
      </c>
      <c r="F118" s="203"/>
      <c r="G118" s="81">
        <f>G119</f>
        <v>0</v>
      </c>
      <c r="H118" s="81">
        <f t="shared" si="31"/>
        <v>0</v>
      </c>
      <c r="I118" s="106">
        <f t="shared" si="40"/>
        <v>20</v>
      </c>
      <c r="J118" s="106">
        <f t="shared" si="40"/>
        <v>0</v>
      </c>
      <c r="K118" s="106">
        <f t="shared" si="40"/>
        <v>0</v>
      </c>
      <c r="L118" s="204">
        <f t="shared" si="40"/>
        <v>-20</v>
      </c>
      <c r="M118" s="205">
        <f t="shared" si="40"/>
        <v>0</v>
      </c>
      <c r="N118" s="206">
        <f t="shared" si="40"/>
        <v>0</v>
      </c>
      <c r="O118" s="106">
        <f t="shared" si="40"/>
        <v>0</v>
      </c>
      <c r="P118" s="106">
        <f t="shared" si="40"/>
        <v>0</v>
      </c>
      <c r="Q118" s="106">
        <f t="shared" si="40"/>
        <v>0</v>
      </c>
    </row>
    <row r="119" spans="1:17" s="42" customFormat="1" ht="82.5" hidden="1">
      <c r="A119" s="302"/>
      <c r="B119" s="121" t="s">
        <v>164</v>
      </c>
      <c r="C119" s="203" t="s">
        <v>26</v>
      </c>
      <c r="D119" s="207" t="s">
        <v>88</v>
      </c>
      <c r="E119" s="208" t="s">
        <v>165</v>
      </c>
      <c r="F119" s="209" t="s">
        <v>31</v>
      </c>
      <c r="G119" s="81">
        <v>0</v>
      </c>
      <c r="H119" s="81">
        <f t="shared" si="31"/>
        <v>0</v>
      </c>
      <c r="I119" s="106">
        <v>20</v>
      </c>
      <c r="J119" s="188"/>
      <c r="K119" s="188"/>
      <c r="L119" s="204">
        <v>-20</v>
      </c>
      <c r="M119" s="210"/>
      <c r="N119" s="139"/>
      <c r="O119" s="188"/>
      <c r="P119" s="106">
        <v>0</v>
      </c>
      <c r="Q119" s="106">
        <v>0</v>
      </c>
    </row>
    <row r="120" spans="1:17" s="219" customFormat="1" ht="27" hidden="1">
      <c r="A120" s="302"/>
      <c r="B120" s="194" t="s">
        <v>162</v>
      </c>
      <c r="C120" s="211" t="s">
        <v>26</v>
      </c>
      <c r="D120" s="212" t="s">
        <v>88</v>
      </c>
      <c r="E120" s="213" t="s">
        <v>165</v>
      </c>
      <c r="F120" s="214" t="s">
        <v>31</v>
      </c>
      <c r="G120" s="197">
        <v>0</v>
      </c>
      <c r="H120" s="197">
        <f t="shared" si="31"/>
        <v>0</v>
      </c>
      <c r="I120" s="198">
        <v>2.2</v>
      </c>
      <c r="J120" s="215"/>
      <c r="K120" s="215"/>
      <c r="L120" s="216">
        <v>-2.2</v>
      </c>
      <c r="M120" s="217"/>
      <c r="N120" s="218"/>
      <c r="O120" s="215"/>
      <c r="P120" s="198">
        <v>0</v>
      </c>
      <c r="Q120" s="198">
        <v>0</v>
      </c>
    </row>
    <row r="121" spans="1:17" s="77" customFormat="1" ht="13.5">
      <c r="A121" s="302"/>
      <c r="B121" s="220" t="s">
        <v>166</v>
      </c>
      <c r="C121" s="117" t="s">
        <v>33</v>
      </c>
      <c r="D121" s="117"/>
      <c r="E121" s="221"/>
      <c r="F121" s="117"/>
      <c r="G121" s="172">
        <f>G122</f>
        <v>200</v>
      </c>
      <c r="H121" s="55">
        <f t="shared" si="31"/>
        <v>-3.552713678800501E-15</v>
      </c>
      <c r="I121" s="174">
        <f aca="true" t="shared" si="41" ref="I121:Q124">I122</f>
        <v>106.8</v>
      </c>
      <c r="J121" s="175">
        <f t="shared" si="41"/>
        <v>0</v>
      </c>
      <c r="K121" s="175">
        <f t="shared" si="41"/>
        <v>0</v>
      </c>
      <c r="L121" s="222">
        <f t="shared" si="41"/>
        <v>-92.5625</v>
      </c>
      <c r="M121" s="177">
        <f t="shared" si="41"/>
        <v>-14.2375</v>
      </c>
      <c r="N121" s="134">
        <f t="shared" si="41"/>
        <v>0</v>
      </c>
      <c r="O121" s="175">
        <f t="shared" si="41"/>
        <v>0</v>
      </c>
      <c r="P121" s="174">
        <f t="shared" si="41"/>
        <v>200</v>
      </c>
      <c r="Q121" s="174">
        <f t="shared" si="41"/>
        <v>200</v>
      </c>
    </row>
    <row r="122" spans="1:17" s="77" customFormat="1" ht="27">
      <c r="A122" s="302"/>
      <c r="B122" s="116" t="s">
        <v>167</v>
      </c>
      <c r="C122" s="117" t="s">
        <v>33</v>
      </c>
      <c r="D122" s="117" t="s">
        <v>26</v>
      </c>
      <c r="E122" s="117"/>
      <c r="F122" s="117"/>
      <c r="G122" s="172">
        <f>G123</f>
        <v>200</v>
      </c>
      <c r="H122" s="55">
        <f t="shared" si="31"/>
        <v>-3.552713678800501E-15</v>
      </c>
      <c r="I122" s="174">
        <f t="shared" si="41"/>
        <v>106.8</v>
      </c>
      <c r="J122" s="175">
        <f t="shared" si="41"/>
        <v>0</v>
      </c>
      <c r="K122" s="175">
        <f t="shared" si="41"/>
        <v>0</v>
      </c>
      <c r="L122" s="222">
        <f t="shared" si="41"/>
        <v>-92.5625</v>
      </c>
      <c r="M122" s="177">
        <f t="shared" si="41"/>
        <v>-14.2375</v>
      </c>
      <c r="N122" s="134">
        <f t="shared" si="41"/>
        <v>0</v>
      </c>
      <c r="O122" s="175">
        <f t="shared" si="41"/>
        <v>0</v>
      </c>
      <c r="P122" s="174">
        <f t="shared" si="41"/>
        <v>200</v>
      </c>
      <c r="Q122" s="174">
        <f t="shared" si="41"/>
        <v>200</v>
      </c>
    </row>
    <row r="123" spans="1:17" s="113" customFormat="1" ht="41.25">
      <c r="A123" s="302"/>
      <c r="B123" s="121" t="s">
        <v>135</v>
      </c>
      <c r="C123" s="119" t="s">
        <v>33</v>
      </c>
      <c r="D123" s="119" t="s">
        <v>26</v>
      </c>
      <c r="E123" s="119" t="s">
        <v>88</v>
      </c>
      <c r="F123" s="119"/>
      <c r="G123" s="91">
        <f>G124</f>
        <v>200</v>
      </c>
      <c r="H123" s="81">
        <f t="shared" si="31"/>
        <v>-3.552713678800501E-15</v>
      </c>
      <c r="I123" s="111">
        <f t="shared" si="41"/>
        <v>106.8</v>
      </c>
      <c r="J123" s="107">
        <f t="shared" si="41"/>
        <v>0</v>
      </c>
      <c r="K123" s="107">
        <f t="shared" si="41"/>
        <v>0</v>
      </c>
      <c r="L123" s="179">
        <f t="shared" si="41"/>
        <v>-92.5625</v>
      </c>
      <c r="M123" s="109">
        <f t="shared" si="41"/>
        <v>-14.2375</v>
      </c>
      <c r="N123" s="110">
        <f t="shared" si="41"/>
        <v>0</v>
      </c>
      <c r="O123" s="107">
        <f t="shared" si="41"/>
        <v>0</v>
      </c>
      <c r="P123" s="111">
        <f t="shared" si="41"/>
        <v>200</v>
      </c>
      <c r="Q123" s="111">
        <f t="shared" si="41"/>
        <v>200</v>
      </c>
    </row>
    <row r="124" spans="1:17" s="113" customFormat="1" ht="27">
      <c r="A124" s="302"/>
      <c r="B124" s="121" t="s">
        <v>155</v>
      </c>
      <c r="C124" s="119" t="s">
        <v>33</v>
      </c>
      <c r="D124" s="119" t="s">
        <v>26</v>
      </c>
      <c r="E124" s="119" t="s">
        <v>156</v>
      </c>
      <c r="F124" s="119"/>
      <c r="G124" s="91">
        <f>G125</f>
        <v>200</v>
      </c>
      <c r="H124" s="81">
        <f t="shared" si="31"/>
        <v>-3.552713678800501E-15</v>
      </c>
      <c r="I124" s="111">
        <f t="shared" si="41"/>
        <v>106.8</v>
      </c>
      <c r="J124" s="107">
        <f t="shared" si="41"/>
        <v>0</v>
      </c>
      <c r="K124" s="107">
        <f t="shared" si="41"/>
        <v>0</v>
      </c>
      <c r="L124" s="179">
        <f t="shared" si="41"/>
        <v>-92.5625</v>
      </c>
      <c r="M124" s="109">
        <f t="shared" si="41"/>
        <v>-14.2375</v>
      </c>
      <c r="N124" s="110">
        <f t="shared" si="41"/>
        <v>0</v>
      </c>
      <c r="O124" s="107">
        <f t="shared" si="41"/>
        <v>0</v>
      </c>
      <c r="P124" s="111">
        <f t="shared" si="41"/>
        <v>200</v>
      </c>
      <c r="Q124" s="111">
        <f t="shared" si="41"/>
        <v>200</v>
      </c>
    </row>
    <row r="125" spans="1:17" s="113" customFormat="1" ht="54.75">
      <c r="A125" s="302"/>
      <c r="B125" s="181" t="s">
        <v>138</v>
      </c>
      <c r="C125" s="119" t="s">
        <v>33</v>
      </c>
      <c r="D125" s="119" t="s">
        <v>26</v>
      </c>
      <c r="E125" s="119" t="s">
        <v>157</v>
      </c>
      <c r="F125" s="119" t="s">
        <v>31</v>
      </c>
      <c r="G125" s="81">
        <v>200</v>
      </c>
      <c r="H125" s="81">
        <f t="shared" si="31"/>
        <v>0</v>
      </c>
      <c r="I125" s="106">
        <v>106.8</v>
      </c>
      <c r="J125" s="107">
        <v>0</v>
      </c>
      <c r="K125" s="107">
        <v>0</v>
      </c>
      <c r="L125" s="179">
        <v>-92.5625</v>
      </c>
      <c r="M125" s="109">
        <v>-14.2375</v>
      </c>
      <c r="N125" s="110"/>
      <c r="O125" s="107"/>
      <c r="P125" s="111">
        <v>200</v>
      </c>
      <c r="Q125" s="111">
        <v>200</v>
      </c>
    </row>
    <row r="126" spans="1:17" s="77" customFormat="1" ht="13.5" hidden="1">
      <c r="A126" s="302"/>
      <c r="B126" s="223" t="s">
        <v>168</v>
      </c>
      <c r="C126" s="123" t="s">
        <v>53</v>
      </c>
      <c r="D126" s="123"/>
      <c r="E126" s="123"/>
      <c r="F126" s="123"/>
      <c r="G126" s="55">
        <v>40</v>
      </c>
      <c r="H126" s="55">
        <f t="shared" si="31"/>
        <v>0</v>
      </c>
      <c r="I126" s="55">
        <f aca="true" t="shared" si="42" ref="I126:Q129">I127</f>
        <v>40</v>
      </c>
      <c r="J126" s="74">
        <f t="shared" si="42"/>
        <v>0</v>
      </c>
      <c r="K126" s="74">
        <f t="shared" si="42"/>
        <v>-40</v>
      </c>
      <c r="L126" s="58">
        <f t="shared" si="42"/>
        <v>0</v>
      </c>
      <c r="M126" s="75">
        <f t="shared" si="42"/>
        <v>0</v>
      </c>
      <c r="N126" s="76">
        <f t="shared" si="42"/>
        <v>0</v>
      </c>
      <c r="O126" s="74">
        <f t="shared" si="42"/>
        <v>0</v>
      </c>
      <c r="P126" s="55">
        <f t="shared" si="42"/>
        <v>0</v>
      </c>
      <c r="Q126" s="55">
        <f t="shared" si="42"/>
        <v>0</v>
      </c>
    </row>
    <row r="127" spans="1:17" s="77" customFormat="1" ht="13.5" hidden="1">
      <c r="A127" s="302"/>
      <c r="B127" s="223" t="s">
        <v>169</v>
      </c>
      <c r="C127" s="123" t="s">
        <v>53</v>
      </c>
      <c r="D127" s="123" t="s">
        <v>53</v>
      </c>
      <c r="E127" s="123"/>
      <c r="F127" s="123"/>
      <c r="G127" s="55">
        <v>40</v>
      </c>
      <c r="H127" s="55">
        <f t="shared" si="31"/>
        <v>0</v>
      </c>
      <c r="I127" s="55">
        <f t="shared" si="42"/>
        <v>40</v>
      </c>
      <c r="J127" s="74">
        <f t="shared" si="42"/>
        <v>0</v>
      </c>
      <c r="K127" s="74">
        <f t="shared" si="42"/>
        <v>-40</v>
      </c>
      <c r="L127" s="58">
        <f t="shared" si="42"/>
        <v>0</v>
      </c>
      <c r="M127" s="75">
        <f t="shared" si="42"/>
        <v>0</v>
      </c>
      <c r="N127" s="76">
        <f t="shared" si="42"/>
        <v>0</v>
      </c>
      <c r="O127" s="74">
        <f t="shared" si="42"/>
        <v>0</v>
      </c>
      <c r="P127" s="55">
        <f t="shared" si="42"/>
        <v>0</v>
      </c>
      <c r="Q127" s="55">
        <f t="shared" si="42"/>
        <v>0</v>
      </c>
    </row>
    <row r="128" spans="1:17" s="113" customFormat="1" ht="13.5" hidden="1">
      <c r="A128" s="302"/>
      <c r="B128" s="78" t="s">
        <v>40</v>
      </c>
      <c r="C128" s="115" t="s">
        <v>53</v>
      </c>
      <c r="D128" s="115" t="s">
        <v>53</v>
      </c>
      <c r="E128" s="115" t="s">
        <v>41</v>
      </c>
      <c r="F128" s="115"/>
      <c r="G128" s="81">
        <v>40</v>
      </c>
      <c r="H128" s="81">
        <f t="shared" si="31"/>
        <v>0</v>
      </c>
      <c r="I128" s="81">
        <f t="shared" si="42"/>
        <v>40</v>
      </c>
      <c r="J128" s="80">
        <f t="shared" si="42"/>
        <v>0</v>
      </c>
      <c r="K128" s="80">
        <f t="shared" si="42"/>
        <v>-40</v>
      </c>
      <c r="L128" s="82">
        <f t="shared" si="42"/>
        <v>0</v>
      </c>
      <c r="M128" s="83">
        <f t="shared" si="42"/>
        <v>0</v>
      </c>
      <c r="N128" s="84">
        <f t="shared" si="42"/>
        <v>0</v>
      </c>
      <c r="O128" s="80">
        <f t="shared" si="42"/>
        <v>0</v>
      </c>
      <c r="P128" s="81">
        <f t="shared" si="42"/>
        <v>0</v>
      </c>
      <c r="Q128" s="81">
        <f t="shared" si="42"/>
        <v>0</v>
      </c>
    </row>
    <row r="129" spans="1:17" s="113" customFormat="1" ht="27" hidden="1">
      <c r="A129" s="302"/>
      <c r="B129" s="78" t="s">
        <v>42</v>
      </c>
      <c r="C129" s="115" t="s">
        <v>53</v>
      </c>
      <c r="D129" s="115" t="s">
        <v>53</v>
      </c>
      <c r="E129" s="115" t="s">
        <v>43</v>
      </c>
      <c r="F129" s="115"/>
      <c r="G129" s="81">
        <v>40</v>
      </c>
      <c r="H129" s="81">
        <f t="shared" si="31"/>
        <v>0</v>
      </c>
      <c r="I129" s="81">
        <f t="shared" si="42"/>
        <v>40</v>
      </c>
      <c r="J129" s="80">
        <f t="shared" si="42"/>
        <v>0</v>
      </c>
      <c r="K129" s="80">
        <f t="shared" si="42"/>
        <v>-40</v>
      </c>
      <c r="L129" s="82">
        <f t="shared" si="42"/>
        <v>0</v>
      </c>
      <c r="M129" s="83">
        <f t="shared" si="42"/>
        <v>0</v>
      </c>
      <c r="N129" s="84">
        <f t="shared" si="42"/>
        <v>0</v>
      </c>
      <c r="O129" s="80">
        <f t="shared" si="42"/>
        <v>0</v>
      </c>
      <c r="P129" s="81">
        <f t="shared" si="42"/>
        <v>0</v>
      </c>
      <c r="Q129" s="81">
        <f t="shared" si="42"/>
        <v>0</v>
      </c>
    </row>
    <row r="130" spans="1:17" s="219" customFormat="1" ht="69" hidden="1">
      <c r="A130" s="302"/>
      <c r="B130" s="78" t="s">
        <v>170</v>
      </c>
      <c r="C130" s="79" t="s">
        <v>53</v>
      </c>
      <c r="D130" s="79" t="s">
        <v>53</v>
      </c>
      <c r="E130" s="79" t="s">
        <v>171</v>
      </c>
      <c r="F130" s="79" t="s">
        <v>172</v>
      </c>
      <c r="G130" s="81">
        <v>40</v>
      </c>
      <c r="H130" s="81">
        <f t="shared" si="31"/>
        <v>0</v>
      </c>
      <c r="I130" s="81">
        <v>40</v>
      </c>
      <c r="J130" s="87">
        <v>0</v>
      </c>
      <c r="K130" s="87">
        <v>-40</v>
      </c>
      <c r="L130" s="88">
        <v>0</v>
      </c>
      <c r="M130" s="89"/>
      <c r="N130" s="90"/>
      <c r="O130" s="87"/>
      <c r="P130" s="91">
        <f>40-40</f>
        <v>0</v>
      </c>
      <c r="Q130" s="91">
        <f>40-40</f>
        <v>0</v>
      </c>
    </row>
    <row r="131" spans="1:17" s="224" customFormat="1" ht="13.5">
      <c r="A131" s="302"/>
      <c r="B131" s="122" t="s">
        <v>173</v>
      </c>
      <c r="C131" s="123" t="s">
        <v>174</v>
      </c>
      <c r="D131" s="123"/>
      <c r="E131" s="73"/>
      <c r="F131" s="123"/>
      <c r="G131" s="55">
        <f>G132</f>
        <v>16533.399999999998</v>
      </c>
      <c r="H131" s="57">
        <f t="shared" si="31"/>
        <v>18958.201</v>
      </c>
      <c r="I131" s="55">
        <f aca="true" t="shared" si="43" ref="I131:Q132">I132</f>
        <v>16319.900000000001</v>
      </c>
      <c r="J131" s="55">
        <f t="shared" si="43"/>
        <v>0</v>
      </c>
      <c r="K131" s="55">
        <f t="shared" si="43"/>
        <v>340</v>
      </c>
      <c r="L131" s="58">
        <f t="shared" si="43"/>
        <v>2206.7</v>
      </c>
      <c r="M131" s="59">
        <f t="shared" si="43"/>
        <v>91.601</v>
      </c>
      <c r="N131" s="60">
        <f t="shared" si="43"/>
        <v>0</v>
      </c>
      <c r="O131" s="55">
        <f t="shared" si="43"/>
        <v>0</v>
      </c>
      <c r="P131" s="55">
        <f t="shared" si="43"/>
        <v>15460.000000000002</v>
      </c>
      <c r="Q131" s="55">
        <f t="shared" si="43"/>
        <v>15676.000000000002</v>
      </c>
    </row>
    <row r="132" spans="1:17" s="224" customFormat="1" ht="13.5">
      <c r="A132" s="302"/>
      <c r="B132" s="122" t="s">
        <v>175</v>
      </c>
      <c r="C132" s="123" t="s">
        <v>174</v>
      </c>
      <c r="D132" s="123" t="s">
        <v>22</v>
      </c>
      <c r="E132" s="73"/>
      <c r="F132" s="123"/>
      <c r="G132" s="55">
        <f>G133</f>
        <v>16533.399999999998</v>
      </c>
      <c r="H132" s="57">
        <f t="shared" si="31"/>
        <v>18958.201</v>
      </c>
      <c r="I132" s="55">
        <f t="shared" si="43"/>
        <v>16319.900000000001</v>
      </c>
      <c r="J132" s="55">
        <f t="shared" si="43"/>
        <v>0</v>
      </c>
      <c r="K132" s="55">
        <f t="shared" si="43"/>
        <v>340</v>
      </c>
      <c r="L132" s="58">
        <f t="shared" si="43"/>
        <v>2206.7</v>
      </c>
      <c r="M132" s="59">
        <f t="shared" si="43"/>
        <v>91.601</v>
      </c>
      <c r="N132" s="60">
        <f t="shared" si="43"/>
        <v>0</v>
      </c>
      <c r="O132" s="55">
        <f t="shared" si="43"/>
        <v>0</v>
      </c>
      <c r="P132" s="55">
        <f t="shared" si="43"/>
        <v>15460.000000000002</v>
      </c>
      <c r="Q132" s="55">
        <f t="shared" si="43"/>
        <v>15676.000000000002</v>
      </c>
    </row>
    <row r="133" spans="1:17" s="219" customFormat="1" ht="54.75">
      <c r="A133" s="302"/>
      <c r="B133" s="78" t="s">
        <v>176</v>
      </c>
      <c r="C133" s="115" t="s">
        <v>174</v>
      </c>
      <c r="D133" s="115" t="s">
        <v>22</v>
      </c>
      <c r="E133" s="79" t="s">
        <v>24</v>
      </c>
      <c r="F133" s="130"/>
      <c r="G133" s="81">
        <f>G134+G139+G141+G145</f>
        <v>16533.399999999998</v>
      </c>
      <c r="H133" s="86">
        <f t="shared" si="31"/>
        <v>18958.201</v>
      </c>
      <c r="I133" s="81">
        <f aca="true" t="shared" si="44" ref="I133:Q133">I134+I139+I141+I146+I143</f>
        <v>16319.900000000001</v>
      </c>
      <c r="J133" s="81">
        <f t="shared" si="44"/>
        <v>0</v>
      </c>
      <c r="K133" s="81">
        <f t="shared" si="44"/>
        <v>340</v>
      </c>
      <c r="L133" s="82">
        <f t="shared" si="44"/>
        <v>2206.7</v>
      </c>
      <c r="M133" s="125">
        <f t="shared" si="44"/>
        <v>91.601</v>
      </c>
      <c r="N133" s="126">
        <f t="shared" si="44"/>
        <v>0</v>
      </c>
      <c r="O133" s="81">
        <f t="shared" si="44"/>
        <v>0</v>
      </c>
      <c r="P133" s="81">
        <f t="shared" si="44"/>
        <v>15460.000000000002</v>
      </c>
      <c r="Q133" s="81">
        <f t="shared" si="44"/>
        <v>15676.000000000002</v>
      </c>
    </row>
    <row r="134" spans="1:17" s="219" customFormat="1" ht="54.75">
      <c r="A134" s="302"/>
      <c r="B134" s="78" t="s">
        <v>177</v>
      </c>
      <c r="C134" s="115" t="s">
        <v>174</v>
      </c>
      <c r="D134" s="115" t="s">
        <v>22</v>
      </c>
      <c r="E134" s="79" t="s">
        <v>178</v>
      </c>
      <c r="F134" s="115"/>
      <c r="G134" s="80">
        <f>G135+G137</f>
        <v>16247.8</v>
      </c>
      <c r="H134" s="86">
        <f t="shared" si="31"/>
        <v>18410.001</v>
      </c>
      <c r="I134" s="80">
        <f>I135+I137</f>
        <v>16053.7</v>
      </c>
      <c r="J134" s="80">
        <f aca="true" t="shared" si="45" ref="J134:O134">SUM(J135:J137)</f>
        <v>0</v>
      </c>
      <c r="K134" s="80">
        <f t="shared" si="45"/>
        <v>0</v>
      </c>
      <c r="L134" s="82">
        <f t="shared" si="45"/>
        <v>2206.7</v>
      </c>
      <c r="M134" s="83">
        <f t="shared" si="45"/>
        <v>91.601</v>
      </c>
      <c r="N134" s="84">
        <f t="shared" si="45"/>
        <v>58</v>
      </c>
      <c r="O134" s="80">
        <f t="shared" si="45"/>
        <v>0</v>
      </c>
      <c r="P134" s="80">
        <f>P135+P137</f>
        <v>15153.800000000001</v>
      </c>
      <c r="Q134" s="80">
        <f>Q135+Q137</f>
        <v>15369.800000000001</v>
      </c>
    </row>
    <row r="135" spans="1:18" s="219" customFormat="1" ht="96">
      <c r="A135" s="302"/>
      <c r="B135" s="78" t="s">
        <v>179</v>
      </c>
      <c r="C135" s="79" t="s">
        <v>174</v>
      </c>
      <c r="D135" s="79" t="s">
        <v>22</v>
      </c>
      <c r="E135" s="79" t="s">
        <v>180</v>
      </c>
      <c r="F135" s="79" t="s">
        <v>172</v>
      </c>
      <c r="G135" s="80">
        <v>12427.6</v>
      </c>
      <c r="H135" s="86">
        <f t="shared" si="31"/>
        <v>14157.401000000002</v>
      </c>
      <c r="I135" s="80">
        <f>12168.6+72.5</f>
        <v>12241.1</v>
      </c>
      <c r="J135" s="87"/>
      <c r="K135" s="87"/>
      <c r="L135" s="88">
        <f>1650+76.4+40.3</f>
        <v>1766.7</v>
      </c>
      <c r="M135" s="89">
        <v>91.601</v>
      </c>
      <c r="N135" s="225">
        <f>-24.367+82.367</f>
        <v>58</v>
      </c>
      <c r="O135" s="87"/>
      <c r="P135" s="87">
        <f>11341.2</f>
        <v>11341.2</v>
      </c>
      <c r="Q135" s="87">
        <f>11557.2</f>
        <v>11557.2</v>
      </c>
      <c r="R135" s="226"/>
    </row>
    <row r="136" spans="1:17" s="219" customFormat="1" ht="69" hidden="1">
      <c r="A136" s="302"/>
      <c r="B136" s="156" t="s">
        <v>181</v>
      </c>
      <c r="C136" s="54" t="s">
        <v>174</v>
      </c>
      <c r="D136" s="54" t="s">
        <v>22</v>
      </c>
      <c r="E136" s="54" t="s">
        <v>182</v>
      </c>
      <c r="F136" s="54" t="s">
        <v>172</v>
      </c>
      <c r="G136" s="95">
        <f>SUM(H136:M136)</f>
        <v>0</v>
      </c>
      <c r="H136" s="81">
        <f t="shared" si="31"/>
        <v>0</v>
      </c>
      <c r="I136" s="97">
        <f>SUM(J136:P136)</f>
        <v>0</v>
      </c>
      <c r="J136" s="227">
        <v>0</v>
      </c>
      <c r="K136" s="227">
        <v>0</v>
      </c>
      <c r="L136" s="228">
        <v>0</v>
      </c>
      <c r="M136" s="229"/>
      <c r="N136" s="230"/>
      <c r="O136" s="227"/>
      <c r="P136" s="227">
        <v>0</v>
      </c>
      <c r="Q136" s="227">
        <v>0</v>
      </c>
    </row>
    <row r="137" spans="1:18" s="219" customFormat="1" ht="123.75">
      <c r="A137" s="302"/>
      <c r="B137" s="231" t="s">
        <v>183</v>
      </c>
      <c r="C137" s="79" t="s">
        <v>174</v>
      </c>
      <c r="D137" s="79" t="s">
        <v>22</v>
      </c>
      <c r="E137" s="79" t="s">
        <v>184</v>
      </c>
      <c r="F137" s="79" t="s">
        <v>172</v>
      </c>
      <c r="G137" s="80">
        <v>3820.2</v>
      </c>
      <c r="H137" s="81">
        <f t="shared" si="31"/>
        <v>4252.6</v>
      </c>
      <c r="I137" s="80">
        <v>3812.6</v>
      </c>
      <c r="J137" s="87"/>
      <c r="K137" s="87"/>
      <c r="L137" s="88">
        <f>22+418</f>
        <v>440</v>
      </c>
      <c r="M137" s="89"/>
      <c r="N137" s="90"/>
      <c r="O137" s="87"/>
      <c r="P137" s="80">
        <v>3812.6</v>
      </c>
      <c r="Q137" s="80">
        <v>3812.6</v>
      </c>
      <c r="R137" s="232"/>
    </row>
    <row r="138" spans="1:17" s="219" customFormat="1" ht="27">
      <c r="A138" s="302"/>
      <c r="B138" s="233" t="s">
        <v>162</v>
      </c>
      <c r="C138" s="158" t="s">
        <v>174</v>
      </c>
      <c r="D138" s="158" t="s">
        <v>22</v>
      </c>
      <c r="E138" s="158" t="s">
        <v>184</v>
      </c>
      <c r="F138" s="158" t="s">
        <v>172</v>
      </c>
      <c r="G138" s="197">
        <v>191</v>
      </c>
      <c r="H138" s="197">
        <f t="shared" si="31"/>
        <v>212.7</v>
      </c>
      <c r="I138" s="161">
        <v>190.7</v>
      </c>
      <c r="J138" s="234"/>
      <c r="K138" s="234"/>
      <c r="L138" s="235">
        <v>22</v>
      </c>
      <c r="M138" s="236"/>
      <c r="N138" s="237"/>
      <c r="O138" s="234"/>
      <c r="P138" s="161">
        <v>190.7</v>
      </c>
      <c r="Q138" s="161">
        <v>190.7</v>
      </c>
    </row>
    <row r="139" spans="1:17" s="219" customFormat="1" ht="42.75" customHeight="1">
      <c r="A139" s="302"/>
      <c r="B139" s="78" t="s">
        <v>185</v>
      </c>
      <c r="C139" s="79" t="s">
        <v>174</v>
      </c>
      <c r="D139" s="79" t="s">
        <v>22</v>
      </c>
      <c r="E139" s="79" t="s">
        <v>186</v>
      </c>
      <c r="F139" s="79"/>
      <c r="G139" s="81">
        <v>125</v>
      </c>
      <c r="H139" s="81">
        <f t="shared" si="31"/>
        <v>107</v>
      </c>
      <c r="I139" s="81">
        <f aca="true" t="shared" si="46" ref="I139:Q139">I140</f>
        <v>125</v>
      </c>
      <c r="J139" s="80">
        <f t="shared" si="46"/>
        <v>0</v>
      </c>
      <c r="K139" s="80">
        <f t="shared" si="46"/>
        <v>40</v>
      </c>
      <c r="L139" s="82">
        <f t="shared" si="46"/>
        <v>0</v>
      </c>
      <c r="M139" s="83">
        <f t="shared" si="46"/>
        <v>0</v>
      </c>
      <c r="N139" s="84">
        <f t="shared" si="46"/>
        <v>-58</v>
      </c>
      <c r="O139" s="80">
        <f t="shared" si="46"/>
        <v>0</v>
      </c>
      <c r="P139" s="81">
        <f t="shared" si="46"/>
        <v>165</v>
      </c>
      <c r="Q139" s="81">
        <f t="shared" si="46"/>
        <v>165</v>
      </c>
    </row>
    <row r="140" spans="1:17" s="219" customFormat="1" ht="69">
      <c r="A140" s="302"/>
      <c r="B140" s="78" t="s">
        <v>170</v>
      </c>
      <c r="C140" s="79" t="s">
        <v>174</v>
      </c>
      <c r="D140" s="79" t="s">
        <v>22</v>
      </c>
      <c r="E140" s="79" t="s">
        <v>187</v>
      </c>
      <c r="F140" s="79" t="s">
        <v>172</v>
      </c>
      <c r="G140" s="81">
        <v>125</v>
      </c>
      <c r="H140" s="81">
        <f t="shared" si="31"/>
        <v>107</v>
      </c>
      <c r="I140" s="81">
        <v>125</v>
      </c>
      <c r="J140" s="87">
        <v>0</v>
      </c>
      <c r="K140" s="87">
        <v>40</v>
      </c>
      <c r="L140" s="88">
        <v>0</v>
      </c>
      <c r="M140" s="89"/>
      <c r="N140" s="225">
        <v>-58</v>
      </c>
      <c r="O140" s="87"/>
      <c r="P140" s="91">
        <f>125+40</f>
        <v>165</v>
      </c>
      <c r="Q140" s="91">
        <f>125+40</f>
        <v>165</v>
      </c>
    </row>
    <row r="141" spans="1:17" s="219" customFormat="1" ht="69">
      <c r="A141" s="302"/>
      <c r="B141" s="78" t="s">
        <v>188</v>
      </c>
      <c r="C141" s="79" t="s">
        <v>174</v>
      </c>
      <c r="D141" s="79" t="s">
        <v>22</v>
      </c>
      <c r="E141" s="79" t="s">
        <v>189</v>
      </c>
      <c r="F141" s="79"/>
      <c r="G141" s="81">
        <f>SUM(G142:G142)</f>
        <v>160.6</v>
      </c>
      <c r="H141" s="81">
        <f t="shared" si="31"/>
        <v>141.2</v>
      </c>
      <c r="I141" s="81">
        <f aca="true" t="shared" si="47" ref="I141:Q141">SUM(I142:I142)</f>
        <v>141.2</v>
      </c>
      <c r="J141" s="80">
        <f t="shared" si="47"/>
        <v>0</v>
      </c>
      <c r="K141" s="80">
        <f t="shared" si="47"/>
        <v>0</v>
      </c>
      <c r="L141" s="82">
        <f t="shared" si="47"/>
        <v>0</v>
      </c>
      <c r="M141" s="83">
        <f t="shared" si="47"/>
        <v>0</v>
      </c>
      <c r="N141" s="84">
        <f t="shared" si="47"/>
        <v>0</v>
      </c>
      <c r="O141" s="80">
        <f t="shared" si="47"/>
        <v>0</v>
      </c>
      <c r="P141" s="81">
        <f t="shared" si="47"/>
        <v>141.2</v>
      </c>
      <c r="Q141" s="81">
        <f t="shared" si="47"/>
        <v>141.2</v>
      </c>
    </row>
    <row r="142" spans="1:17" s="219" customFormat="1" ht="179.25">
      <c r="A142" s="302"/>
      <c r="B142" s="78" t="s">
        <v>190</v>
      </c>
      <c r="C142" s="79" t="s">
        <v>174</v>
      </c>
      <c r="D142" s="79" t="s">
        <v>22</v>
      </c>
      <c r="E142" s="79" t="s">
        <v>191</v>
      </c>
      <c r="F142" s="79" t="s">
        <v>172</v>
      </c>
      <c r="G142" s="80">
        <v>160.6</v>
      </c>
      <c r="H142" s="81">
        <f t="shared" si="31"/>
        <v>141.2</v>
      </c>
      <c r="I142" s="80">
        <v>141.2</v>
      </c>
      <c r="J142" s="80">
        <v>0</v>
      </c>
      <c r="K142" s="80">
        <v>0</v>
      </c>
      <c r="L142" s="82">
        <v>0</v>
      </c>
      <c r="M142" s="83"/>
      <c r="N142" s="84"/>
      <c r="O142" s="80"/>
      <c r="P142" s="80">
        <v>141.2</v>
      </c>
      <c r="Q142" s="80">
        <v>141.2</v>
      </c>
    </row>
    <row r="143" spans="1:17" s="219" customFormat="1" ht="41.25">
      <c r="A143" s="302"/>
      <c r="B143" s="78" t="s">
        <v>192</v>
      </c>
      <c r="C143" s="79" t="s">
        <v>174</v>
      </c>
      <c r="D143" s="79" t="s">
        <v>22</v>
      </c>
      <c r="E143" s="79" t="s">
        <v>193</v>
      </c>
      <c r="F143" s="79"/>
      <c r="G143" s="80"/>
      <c r="H143" s="81">
        <f aca="true" t="shared" si="48" ref="H143:Q143">H144</f>
        <v>300</v>
      </c>
      <c r="I143" s="80">
        <f t="shared" si="48"/>
        <v>0</v>
      </c>
      <c r="J143" s="80">
        <f t="shared" si="48"/>
        <v>0</v>
      </c>
      <c r="K143" s="81">
        <f t="shared" si="48"/>
        <v>300</v>
      </c>
      <c r="L143" s="82">
        <f t="shared" si="48"/>
        <v>0</v>
      </c>
      <c r="M143" s="83">
        <f t="shared" si="48"/>
        <v>0</v>
      </c>
      <c r="N143" s="84">
        <f t="shared" si="48"/>
        <v>0</v>
      </c>
      <c r="O143" s="80">
        <f t="shared" si="48"/>
        <v>0</v>
      </c>
      <c r="P143" s="81">
        <f t="shared" si="48"/>
        <v>0</v>
      </c>
      <c r="Q143" s="81">
        <f t="shared" si="48"/>
        <v>0</v>
      </c>
    </row>
    <row r="144" spans="1:17" s="219" customFormat="1" ht="82.5">
      <c r="A144" s="302"/>
      <c r="B144" s="78" t="s">
        <v>194</v>
      </c>
      <c r="C144" s="79" t="s">
        <v>174</v>
      </c>
      <c r="D144" s="79" t="s">
        <v>22</v>
      </c>
      <c r="E144" s="79" t="s">
        <v>195</v>
      </c>
      <c r="F144" s="79" t="s">
        <v>172</v>
      </c>
      <c r="G144" s="80"/>
      <c r="H144" s="81">
        <f>SUM(I144:O144)</f>
        <v>300</v>
      </c>
      <c r="I144" s="80"/>
      <c r="J144" s="80"/>
      <c r="K144" s="81">
        <v>300</v>
      </c>
      <c r="L144" s="82"/>
      <c r="M144" s="83"/>
      <c r="N144" s="84"/>
      <c r="O144" s="80"/>
      <c r="P144" s="81">
        <v>0</v>
      </c>
      <c r="Q144" s="81">
        <v>0</v>
      </c>
    </row>
    <row r="145" spans="1:17" s="219" customFormat="1" ht="41.25" hidden="1">
      <c r="A145" s="302"/>
      <c r="B145" s="78" t="s">
        <v>196</v>
      </c>
      <c r="C145" s="79" t="s">
        <v>174</v>
      </c>
      <c r="D145" s="79" t="s">
        <v>22</v>
      </c>
      <c r="E145" s="79" t="s">
        <v>197</v>
      </c>
      <c r="F145" s="158"/>
      <c r="G145" s="182">
        <f>G146</f>
        <v>0</v>
      </c>
      <c r="H145" s="238">
        <f>H146</f>
        <v>0</v>
      </c>
      <c r="I145" s="91">
        <f>I146</f>
        <v>0</v>
      </c>
      <c r="J145" s="80">
        <v>0</v>
      </c>
      <c r="K145" s="80">
        <v>0</v>
      </c>
      <c r="L145" s="82">
        <v>0</v>
      </c>
      <c r="M145" s="83">
        <v>0</v>
      </c>
      <c r="N145" s="84">
        <v>0</v>
      </c>
      <c r="O145" s="80">
        <v>0</v>
      </c>
      <c r="P145" s="91">
        <f>P146</f>
        <v>0</v>
      </c>
      <c r="Q145" s="91">
        <f>Q146</f>
        <v>0</v>
      </c>
    </row>
    <row r="146" spans="1:17" s="219" customFormat="1" ht="123.75" hidden="1">
      <c r="A146" s="302"/>
      <c r="B146" s="78" t="s">
        <v>198</v>
      </c>
      <c r="C146" s="79" t="s">
        <v>174</v>
      </c>
      <c r="D146" s="79" t="s">
        <v>22</v>
      </c>
      <c r="E146" s="79" t="s">
        <v>199</v>
      </c>
      <c r="F146" s="79" t="s">
        <v>172</v>
      </c>
      <c r="G146" s="81">
        <f>SUM(H146:M146)</f>
        <v>0</v>
      </c>
      <c r="H146" s="131">
        <f>SUM(I146:O146)</f>
        <v>0</v>
      </c>
      <c r="I146" s="81">
        <f>SUM(J146:P146)</f>
        <v>0</v>
      </c>
      <c r="J146" s="80">
        <v>0</v>
      </c>
      <c r="K146" s="80">
        <v>0</v>
      </c>
      <c r="L146" s="82">
        <v>0</v>
      </c>
      <c r="M146" s="83"/>
      <c r="N146" s="84"/>
      <c r="O146" s="80"/>
      <c r="P146" s="91">
        <v>0</v>
      </c>
      <c r="Q146" s="91">
        <v>0</v>
      </c>
    </row>
    <row r="147" spans="1:17" s="219" customFormat="1" ht="27" hidden="1">
      <c r="A147" s="302"/>
      <c r="B147" s="233" t="s">
        <v>162</v>
      </c>
      <c r="C147" s="158" t="s">
        <v>174</v>
      </c>
      <c r="D147" s="158" t="s">
        <v>22</v>
      </c>
      <c r="E147" s="158" t="s">
        <v>199</v>
      </c>
      <c r="F147" s="158" t="s">
        <v>172</v>
      </c>
      <c r="G147" s="81">
        <f>SUM(H147:M147)</f>
        <v>0</v>
      </c>
      <c r="H147" s="131">
        <f>SUM(I147:O147)</f>
        <v>0</v>
      </c>
      <c r="I147" s="81">
        <f>SUM(J147:P147)</f>
        <v>0</v>
      </c>
      <c r="J147" s="161">
        <v>0</v>
      </c>
      <c r="K147" s="161">
        <v>0</v>
      </c>
      <c r="L147" s="162">
        <v>0</v>
      </c>
      <c r="M147" s="163"/>
      <c r="N147" s="164"/>
      <c r="O147" s="161"/>
      <c r="P147" s="165">
        <v>0</v>
      </c>
      <c r="Q147" s="165">
        <v>0</v>
      </c>
    </row>
    <row r="148" spans="1:17" s="243" customFormat="1" ht="13.5">
      <c r="A148" s="302"/>
      <c r="B148" s="239" t="s">
        <v>200</v>
      </c>
      <c r="C148" s="117" t="s">
        <v>101</v>
      </c>
      <c r="D148" s="117"/>
      <c r="E148" s="240"/>
      <c r="F148" s="240"/>
      <c r="G148" s="55" t="e">
        <f>SUM(G149,G154,G159)</f>
        <v>#REF!</v>
      </c>
      <c r="H148" s="56">
        <f>H149+H154+H159</f>
        <v>1020.89078</v>
      </c>
      <c r="I148" s="166">
        <f aca="true" t="shared" si="49" ref="I148:Q148">SUM(I149,I154,I159)</f>
        <v>1091.7599999999998</v>
      </c>
      <c r="J148" s="241">
        <f t="shared" si="49"/>
        <v>27.644</v>
      </c>
      <c r="K148" s="241">
        <f t="shared" si="49"/>
        <v>0</v>
      </c>
      <c r="L148" s="166">
        <f t="shared" si="49"/>
        <v>-167.09923</v>
      </c>
      <c r="M148" s="170">
        <f t="shared" si="49"/>
        <v>-0.00825</v>
      </c>
      <c r="N148" s="242">
        <f t="shared" si="49"/>
        <v>68.59425999999999</v>
      </c>
      <c r="O148" s="241">
        <f t="shared" si="49"/>
        <v>0</v>
      </c>
      <c r="P148" s="166">
        <f t="shared" si="49"/>
        <v>1031.7599999999998</v>
      </c>
      <c r="Q148" s="166">
        <f t="shared" si="49"/>
        <v>1004.4599999999999</v>
      </c>
    </row>
    <row r="149" spans="1:17" s="243" customFormat="1" ht="13.5">
      <c r="A149" s="302"/>
      <c r="B149" s="239" t="s">
        <v>201</v>
      </c>
      <c r="C149" s="117" t="s">
        <v>101</v>
      </c>
      <c r="D149" s="117" t="s">
        <v>22</v>
      </c>
      <c r="E149" s="240"/>
      <c r="F149" s="240"/>
      <c r="G149" s="55">
        <f>G150</f>
        <v>597.6999999999999</v>
      </c>
      <c r="H149" s="56">
        <f aca="true" t="shared" si="50" ref="H149:H174">SUM(I149:O149)</f>
        <v>480.3490299999999</v>
      </c>
      <c r="I149" s="241">
        <f aca="true" t="shared" si="51" ref="I149:Q150">I150</f>
        <v>585.5999999999999</v>
      </c>
      <c r="J149" s="168">
        <f t="shared" si="51"/>
        <v>0</v>
      </c>
      <c r="K149" s="168">
        <f t="shared" si="51"/>
        <v>0</v>
      </c>
      <c r="L149" s="169">
        <f t="shared" si="51"/>
        <v>-105.24523</v>
      </c>
      <c r="M149" s="244">
        <f t="shared" si="51"/>
        <v>0</v>
      </c>
      <c r="N149" s="171">
        <f t="shared" si="51"/>
        <v>-0.00574</v>
      </c>
      <c r="O149" s="168">
        <f t="shared" si="51"/>
        <v>0</v>
      </c>
      <c r="P149" s="241">
        <f t="shared" si="51"/>
        <v>585.5999999999999</v>
      </c>
      <c r="Q149" s="241">
        <f t="shared" si="51"/>
        <v>585.5999999999999</v>
      </c>
    </row>
    <row r="150" spans="1:17" s="245" customFormat="1" ht="54.75">
      <c r="A150" s="302"/>
      <c r="B150" s="114" t="s">
        <v>202</v>
      </c>
      <c r="C150" s="115" t="s">
        <v>101</v>
      </c>
      <c r="D150" s="115" t="s">
        <v>22</v>
      </c>
      <c r="E150" s="79" t="s">
        <v>26</v>
      </c>
      <c r="F150" s="79"/>
      <c r="G150" s="81">
        <f>G151</f>
        <v>597.6999999999999</v>
      </c>
      <c r="H150" s="112">
        <f t="shared" si="50"/>
        <v>480.3490299999999</v>
      </c>
      <c r="I150" s="81">
        <f t="shared" si="51"/>
        <v>585.5999999999999</v>
      </c>
      <c r="J150" s="80">
        <f t="shared" si="51"/>
        <v>0</v>
      </c>
      <c r="K150" s="80">
        <f t="shared" si="51"/>
        <v>0</v>
      </c>
      <c r="L150" s="112">
        <f t="shared" si="51"/>
        <v>-105.24523</v>
      </c>
      <c r="M150" s="83">
        <f t="shared" si="51"/>
        <v>0</v>
      </c>
      <c r="N150" s="84">
        <f t="shared" si="51"/>
        <v>-0.00574</v>
      </c>
      <c r="O150" s="80">
        <f t="shared" si="51"/>
        <v>0</v>
      </c>
      <c r="P150" s="81">
        <f t="shared" si="51"/>
        <v>585.5999999999999</v>
      </c>
      <c r="Q150" s="81">
        <f t="shared" si="51"/>
        <v>585.5999999999999</v>
      </c>
    </row>
    <row r="151" spans="1:17" s="245" customFormat="1" ht="27">
      <c r="A151" s="302"/>
      <c r="B151" s="114" t="s">
        <v>203</v>
      </c>
      <c r="C151" s="115" t="s">
        <v>101</v>
      </c>
      <c r="D151" s="115" t="s">
        <v>22</v>
      </c>
      <c r="E151" s="79" t="s">
        <v>204</v>
      </c>
      <c r="F151" s="79"/>
      <c r="G151" s="81">
        <f>SUM(G152:G153)</f>
        <v>597.6999999999999</v>
      </c>
      <c r="H151" s="112">
        <f t="shared" si="50"/>
        <v>480.3490299999999</v>
      </c>
      <c r="I151" s="81">
        <f aca="true" t="shared" si="52" ref="I151:Q151">SUM(I152:I153)</f>
        <v>585.5999999999999</v>
      </c>
      <c r="J151" s="80">
        <f t="shared" si="52"/>
        <v>0</v>
      </c>
      <c r="K151" s="80">
        <f t="shared" si="52"/>
        <v>0</v>
      </c>
      <c r="L151" s="112">
        <f t="shared" si="52"/>
        <v>-105.24523</v>
      </c>
      <c r="M151" s="83">
        <f t="shared" si="52"/>
        <v>0</v>
      </c>
      <c r="N151" s="84">
        <f t="shared" si="52"/>
        <v>-0.00574</v>
      </c>
      <c r="O151" s="80">
        <f t="shared" si="52"/>
        <v>0</v>
      </c>
      <c r="P151" s="81">
        <f t="shared" si="52"/>
        <v>585.5999999999999</v>
      </c>
      <c r="Q151" s="81">
        <f t="shared" si="52"/>
        <v>585.5999999999999</v>
      </c>
    </row>
    <row r="152" spans="1:17" s="113" customFormat="1" ht="41.25">
      <c r="A152" s="302"/>
      <c r="B152" s="114" t="s">
        <v>205</v>
      </c>
      <c r="C152" s="115" t="s">
        <v>101</v>
      </c>
      <c r="D152" s="115" t="s">
        <v>22</v>
      </c>
      <c r="E152" s="79" t="s">
        <v>206</v>
      </c>
      <c r="F152" s="115" t="s">
        <v>31</v>
      </c>
      <c r="G152" s="80">
        <v>5.9</v>
      </c>
      <c r="H152" s="112">
        <f t="shared" si="50"/>
        <v>4.75594</v>
      </c>
      <c r="I152" s="80">
        <v>5.8</v>
      </c>
      <c r="J152" s="80">
        <v>0</v>
      </c>
      <c r="K152" s="80">
        <v>0</v>
      </c>
      <c r="L152" s="112">
        <v>-1.04406</v>
      </c>
      <c r="M152" s="83"/>
      <c r="N152" s="84"/>
      <c r="O152" s="80"/>
      <c r="P152" s="80">
        <v>5.8</v>
      </c>
      <c r="Q152" s="80">
        <v>5.8</v>
      </c>
    </row>
    <row r="153" spans="1:17" s="113" customFormat="1" ht="41.25">
      <c r="A153" s="302"/>
      <c r="B153" s="114" t="s">
        <v>207</v>
      </c>
      <c r="C153" s="115" t="s">
        <v>101</v>
      </c>
      <c r="D153" s="115" t="s">
        <v>22</v>
      </c>
      <c r="E153" s="79" t="s">
        <v>206</v>
      </c>
      <c r="F153" s="115" t="s">
        <v>208</v>
      </c>
      <c r="G153" s="80">
        <v>591.8</v>
      </c>
      <c r="H153" s="112">
        <f t="shared" si="50"/>
        <v>475.59308999999996</v>
      </c>
      <c r="I153" s="80">
        <v>579.8</v>
      </c>
      <c r="J153" s="80">
        <v>0</v>
      </c>
      <c r="K153" s="80">
        <v>0</v>
      </c>
      <c r="L153" s="112">
        <v>-104.20117</v>
      </c>
      <c r="M153" s="83"/>
      <c r="N153" s="171">
        <v>-0.00574</v>
      </c>
      <c r="O153" s="80"/>
      <c r="P153" s="80">
        <v>579.8</v>
      </c>
      <c r="Q153" s="80">
        <v>579.8</v>
      </c>
    </row>
    <row r="154" spans="1:17" s="77" customFormat="1" ht="13.5">
      <c r="A154" s="302"/>
      <c r="B154" s="239" t="s">
        <v>209</v>
      </c>
      <c r="C154" s="117" t="s">
        <v>101</v>
      </c>
      <c r="D154" s="117" t="s">
        <v>88</v>
      </c>
      <c r="E154" s="117"/>
      <c r="F154" s="117"/>
      <c r="G154" s="172" t="e">
        <f>G155</f>
        <v>#REF!</v>
      </c>
      <c r="H154" s="57">
        <f t="shared" si="50"/>
        <v>94.04599999999999</v>
      </c>
      <c r="I154" s="174">
        <f aca="true" t="shared" si="53" ref="I154:Q155">I155</f>
        <v>87.3</v>
      </c>
      <c r="J154" s="174">
        <f t="shared" si="53"/>
        <v>0</v>
      </c>
      <c r="K154" s="174">
        <f t="shared" si="53"/>
        <v>0</v>
      </c>
      <c r="L154" s="184">
        <f t="shared" si="53"/>
        <v>-61.854</v>
      </c>
      <c r="M154" s="246">
        <f t="shared" si="53"/>
        <v>0</v>
      </c>
      <c r="N154" s="225">
        <f t="shared" si="53"/>
        <v>68.6</v>
      </c>
      <c r="O154" s="174">
        <f t="shared" si="53"/>
        <v>0</v>
      </c>
      <c r="P154" s="174">
        <f t="shared" si="53"/>
        <v>27.3</v>
      </c>
      <c r="Q154" s="174">
        <f t="shared" si="53"/>
        <v>0</v>
      </c>
    </row>
    <row r="155" spans="1:17" s="113" customFormat="1" ht="13.5">
      <c r="A155" s="302"/>
      <c r="B155" s="193" t="s">
        <v>130</v>
      </c>
      <c r="C155" s="119" t="s">
        <v>101</v>
      </c>
      <c r="D155" s="119" t="s">
        <v>88</v>
      </c>
      <c r="E155" s="119" t="s">
        <v>41</v>
      </c>
      <c r="F155" s="119"/>
      <c r="G155" s="91" t="e">
        <f>G156</f>
        <v>#REF!</v>
      </c>
      <c r="H155" s="86">
        <f t="shared" si="50"/>
        <v>94.04599999999999</v>
      </c>
      <c r="I155" s="111">
        <f t="shared" si="53"/>
        <v>87.3</v>
      </c>
      <c r="J155" s="111">
        <f t="shared" si="53"/>
        <v>0</v>
      </c>
      <c r="K155" s="111">
        <f t="shared" si="53"/>
        <v>0</v>
      </c>
      <c r="L155" s="191">
        <f t="shared" si="53"/>
        <v>-61.854</v>
      </c>
      <c r="M155" s="247">
        <f t="shared" si="53"/>
        <v>0</v>
      </c>
      <c r="N155" s="248">
        <f t="shared" si="53"/>
        <v>68.6</v>
      </c>
      <c r="O155" s="111">
        <f t="shared" si="53"/>
        <v>0</v>
      </c>
      <c r="P155" s="111">
        <f t="shared" si="53"/>
        <v>27.3</v>
      </c>
      <c r="Q155" s="111">
        <f t="shared" si="53"/>
        <v>0</v>
      </c>
    </row>
    <row r="156" spans="1:17" s="113" customFormat="1" ht="27">
      <c r="A156" s="302"/>
      <c r="B156" s="193" t="s">
        <v>42</v>
      </c>
      <c r="C156" s="119" t="s">
        <v>101</v>
      </c>
      <c r="D156" s="119" t="s">
        <v>88</v>
      </c>
      <c r="E156" s="119" t="s">
        <v>43</v>
      </c>
      <c r="F156" s="119"/>
      <c r="G156" s="81" t="e">
        <f>#REF!+G157+G158</f>
        <v>#REF!</v>
      </c>
      <c r="H156" s="86">
        <f t="shared" si="50"/>
        <v>94.04599999999999</v>
      </c>
      <c r="I156" s="106">
        <f aca="true" t="shared" si="54" ref="I156:Q156">I157+I158</f>
        <v>87.3</v>
      </c>
      <c r="J156" s="106">
        <f t="shared" si="54"/>
        <v>0</v>
      </c>
      <c r="K156" s="106">
        <f t="shared" si="54"/>
        <v>0</v>
      </c>
      <c r="L156" s="249">
        <f t="shared" si="54"/>
        <v>-61.854</v>
      </c>
      <c r="M156" s="205">
        <f t="shared" si="54"/>
        <v>0</v>
      </c>
      <c r="N156" s="206">
        <f t="shared" si="54"/>
        <v>68.6</v>
      </c>
      <c r="O156" s="106">
        <f t="shared" si="54"/>
        <v>0</v>
      </c>
      <c r="P156" s="106">
        <f t="shared" si="54"/>
        <v>27.3</v>
      </c>
      <c r="Q156" s="106">
        <f t="shared" si="54"/>
        <v>0</v>
      </c>
    </row>
    <row r="157" spans="1:17" s="113" customFormat="1" ht="41.25">
      <c r="A157" s="302"/>
      <c r="B157" s="121" t="s">
        <v>210</v>
      </c>
      <c r="C157" s="119" t="s">
        <v>101</v>
      </c>
      <c r="D157" s="119" t="s">
        <v>88</v>
      </c>
      <c r="E157" s="119" t="s">
        <v>211</v>
      </c>
      <c r="F157" s="119" t="s">
        <v>208</v>
      </c>
      <c r="G157" s="80">
        <f>SUM(H157:M157)</f>
        <v>68.6</v>
      </c>
      <c r="H157" s="81">
        <f t="shared" si="50"/>
        <v>68.6</v>
      </c>
      <c r="I157" s="188">
        <v>0</v>
      </c>
      <c r="J157" s="107"/>
      <c r="K157" s="107"/>
      <c r="L157" s="191"/>
      <c r="M157" s="109"/>
      <c r="N157" s="110">
        <v>68.6</v>
      </c>
      <c r="O157" s="107"/>
      <c r="P157" s="111">
        <v>0</v>
      </c>
      <c r="Q157" s="111">
        <v>0</v>
      </c>
    </row>
    <row r="158" spans="1:17" s="113" customFormat="1" ht="41.25">
      <c r="A158" s="302"/>
      <c r="B158" s="193" t="s">
        <v>212</v>
      </c>
      <c r="C158" s="119" t="s">
        <v>101</v>
      </c>
      <c r="D158" s="119" t="s">
        <v>88</v>
      </c>
      <c r="E158" s="119" t="s">
        <v>213</v>
      </c>
      <c r="F158" s="119" t="s">
        <v>51</v>
      </c>
      <c r="G158" s="91">
        <v>67.6</v>
      </c>
      <c r="H158" s="86">
        <f t="shared" si="50"/>
        <v>25.445999999999998</v>
      </c>
      <c r="I158" s="106">
        <v>87.3</v>
      </c>
      <c r="J158" s="107">
        <v>0</v>
      </c>
      <c r="K158" s="107">
        <v>0</v>
      </c>
      <c r="L158" s="191">
        <v>-61.854</v>
      </c>
      <c r="M158" s="109">
        <v>0</v>
      </c>
      <c r="N158" s="110"/>
      <c r="O158" s="107"/>
      <c r="P158" s="111">
        <v>27.3</v>
      </c>
      <c r="Q158" s="111">
        <v>0</v>
      </c>
    </row>
    <row r="159" spans="1:17" s="113" customFormat="1" ht="13.5">
      <c r="A159" s="302"/>
      <c r="B159" s="239" t="s">
        <v>214</v>
      </c>
      <c r="C159" s="117" t="s">
        <v>101</v>
      </c>
      <c r="D159" s="117" t="s">
        <v>24</v>
      </c>
      <c r="E159" s="119"/>
      <c r="F159" s="117"/>
      <c r="G159" s="68">
        <f>G160</f>
        <v>399.035</v>
      </c>
      <c r="H159" s="56">
        <f t="shared" si="50"/>
        <v>446.49575000000004</v>
      </c>
      <c r="I159" s="183">
        <f aca="true" t="shared" si="55" ref="I159:Q161">I160</f>
        <v>418.86</v>
      </c>
      <c r="J159" s="183">
        <f t="shared" si="55"/>
        <v>27.644</v>
      </c>
      <c r="K159" s="183">
        <f t="shared" si="55"/>
        <v>0</v>
      </c>
      <c r="L159" s="183">
        <f t="shared" si="55"/>
        <v>0</v>
      </c>
      <c r="M159" s="185">
        <f t="shared" si="55"/>
        <v>-0.00825</v>
      </c>
      <c r="N159" s="250">
        <f t="shared" si="55"/>
        <v>0</v>
      </c>
      <c r="O159" s="183">
        <f t="shared" si="55"/>
        <v>0</v>
      </c>
      <c r="P159" s="183">
        <f t="shared" si="55"/>
        <v>418.86</v>
      </c>
      <c r="Q159" s="183">
        <f t="shared" si="55"/>
        <v>418.86</v>
      </c>
    </row>
    <row r="160" spans="1:17" s="113" customFormat="1" ht="13.5">
      <c r="A160" s="302"/>
      <c r="B160" s="193" t="s">
        <v>130</v>
      </c>
      <c r="C160" s="119" t="s">
        <v>101</v>
      </c>
      <c r="D160" s="119" t="s">
        <v>24</v>
      </c>
      <c r="E160" s="119" t="s">
        <v>41</v>
      </c>
      <c r="F160" s="119"/>
      <c r="G160" s="88">
        <f>G161</f>
        <v>399.035</v>
      </c>
      <c r="H160" s="112">
        <f t="shared" si="50"/>
        <v>446.49575000000004</v>
      </c>
      <c r="I160" s="108">
        <f t="shared" si="55"/>
        <v>418.86</v>
      </c>
      <c r="J160" s="108">
        <f t="shared" si="55"/>
        <v>27.644</v>
      </c>
      <c r="K160" s="108">
        <f t="shared" si="55"/>
        <v>0</v>
      </c>
      <c r="L160" s="108">
        <f t="shared" si="55"/>
        <v>0</v>
      </c>
      <c r="M160" s="186">
        <f t="shared" si="55"/>
        <v>-0.00825</v>
      </c>
      <c r="N160" s="251">
        <f t="shared" si="55"/>
        <v>0</v>
      </c>
      <c r="O160" s="108">
        <f t="shared" si="55"/>
        <v>0</v>
      </c>
      <c r="P160" s="108">
        <f t="shared" si="55"/>
        <v>418.86</v>
      </c>
      <c r="Q160" s="108">
        <f t="shared" si="55"/>
        <v>418.86</v>
      </c>
    </row>
    <row r="161" spans="1:17" s="113" customFormat="1" ht="27">
      <c r="A161" s="302"/>
      <c r="B161" s="193" t="s">
        <v>42</v>
      </c>
      <c r="C161" s="119" t="s">
        <v>101</v>
      </c>
      <c r="D161" s="119" t="s">
        <v>24</v>
      </c>
      <c r="E161" s="119" t="s">
        <v>43</v>
      </c>
      <c r="F161" s="119"/>
      <c r="G161" s="88">
        <f>G162</f>
        <v>399.035</v>
      </c>
      <c r="H161" s="112">
        <f t="shared" si="50"/>
        <v>446.49575000000004</v>
      </c>
      <c r="I161" s="108">
        <f t="shared" si="55"/>
        <v>418.86</v>
      </c>
      <c r="J161" s="108">
        <f t="shared" si="55"/>
        <v>27.644</v>
      </c>
      <c r="K161" s="108">
        <f t="shared" si="55"/>
        <v>0</v>
      </c>
      <c r="L161" s="108">
        <f t="shared" si="55"/>
        <v>0</v>
      </c>
      <c r="M161" s="186">
        <f t="shared" si="55"/>
        <v>-0.00825</v>
      </c>
      <c r="N161" s="251">
        <f t="shared" si="55"/>
        <v>0</v>
      </c>
      <c r="O161" s="108">
        <f t="shared" si="55"/>
        <v>0</v>
      </c>
      <c r="P161" s="108">
        <f t="shared" si="55"/>
        <v>418.86</v>
      </c>
      <c r="Q161" s="108">
        <f t="shared" si="55"/>
        <v>418.86</v>
      </c>
    </row>
    <row r="162" spans="1:17" s="113" customFormat="1" ht="27">
      <c r="A162" s="302"/>
      <c r="B162" s="193" t="s">
        <v>215</v>
      </c>
      <c r="C162" s="119" t="s">
        <v>101</v>
      </c>
      <c r="D162" s="119" t="s">
        <v>24</v>
      </c>
      <c r="E162" s="119" t="s">
        <v>216</v>
      </c>
      <c r="F162" s="119" t="s">
        <v>51</v>
      </c>
      <c r="G162" s="88">
        <v>399.035</v>
      </c>
      <c r="H162" s="112">
        <f t="shared" si="50"/>
        <v>446.49575000000004</v>
      </c>
      <c r="I162" s="108">
        <v>418.86</v>
      </c>
      <c r="J162" s="108">
        <v>27.644</v>
      </c>
      <c r="K162" s="108">
        <v>0</v>
      </c>
      <c r="L162" s="108">
        <v>0</v>
      </c>
      <c r="M162" s="186">
        <v>-0.00825</v>
      </c>
      <c r="N162" s="251">
        <v>0</v>
      </c>
      <c r="O162" s="108">
        <v>0</v>
      </c>
      <c r="P162" s="108">
        <v>418.86</v>
      </c>
      <c r="Q162" s="108">
        <v>418.86</v>
      </c>
    </row>
    <row r="163" spans="1:17" s="77" customFormat="1" ht="13.5" hidden="1">
      <c r="A163" s="302"/>
      <c r="B163" s="145" t="s">
        <v>217</v>
      </c>
      <c r="C163" s="252" t="s">
        <v>57</v>
      </c>
      <c r="D163" s="252"/>
      <c r="E163" s="64"/>
      <c r="F163" s="252"/>
      <c r="G163" s="136">
        <f aca="true" t="shared" si="56" ref="G163:G168">SUM(H163:M163)</f>
        <v>0</v>
      </c>
      <c r="H163" s="146">
        <f t="shared" si="50"/>
        <v>0</v>
      </c>
      <c r="I163" s="147">
        <f aca="true" t="shared" si="57" ref="I163:I168">SUM(J163:P163)</f>
        <v>0</v>
      </c>
      <c r="J163" s="147">
        <f aca="true" t="shared" si="58" ref="J163:L165">J164</f>
        <v>0</v>
      </c>
      <c r="K163" s="147">
        <f t="shared" si="58"/>
        <v>0</v>
      </c>
      <c r="L163" s="148">
        <f t="shared" si="58"/>
        <v>0</v>
      </c>
      <c r="M163" s="149"/>
      <c r="N163" s="150"/>
      <c r="O163" s="147"/>
      <c r="P163" s="105"/>
      <c r="Q163" s="105"/>
    </row>
    <row r="164" spans="1:17" s="77" customFormat="1" ht="13.5" hidden="1">
      <c r="A164" s="302"/>
      <c r="B164" s="145" t="s">
        <v>218</v>
      </c>
      <c r="C164" s="252" t="s">
        <v>57</v>
      </c>
      <c r="D164" s="252" t="s">
        <v>86</v>
      </c>
      <c r="E164" s="64"/>
      <c r="F164" s="252"/>
      <c r="G164" s="136">
        <f t="shared" si="56"/>
        <v>0</v>
      </c>
      <c r="H164" s="146">
        <f t="shared" si="50"/>
        <v>0</v>
      </c>
      <c r="I164" s="147">
        <f t="shared" si="57"/>
        <v>0</v>
      </c>
      <c r="J164" s="147">
        <f t="shared" si="58"/>
        <v>0</v>
      </c>
      <c r="K164" s="147">
        <f t="shared" si="58"/>
        <v>0</v>
      </c>
      <c r="L164" s="148">
        <f t="shared" si="58"/>
        <v>0</v>
      </c>
      <c r="M164" s="149"/>
      <c r="N164" s="150"/>
      <c r="O164" s="147"/>
      <c r="P164" s="105"/>
      <c r="Q164" s="105"/>
    </row>
    <row r="165" spans="1:17" s="113" customFormat="1" ht="13.5" hidden="1">
      <c r="A165" s="302"/>
      <c r="B165" s="156" t="s">
        <v>40</v>
      </c>
      <c r="C165" s="130" t="s">
        <v>57</v>
      </c>
      <c r="D165" s="130" t="s">
        <v>86</v>
      </c>
      <c r="E165" s="54" t="s">
        <v>41</v>
      </c>
      <c r="F165" s="130"/>
      <c r="G165" s="136">
        <f t="shared" si="56"/>
        <v>0</v>
      </c>
      <c r="H165" s="146">
        <f t="shared" si="50"/>
        <v>0</v>
      </c>
      <c r="I165" s="147">
        <f t="shared" si="57"/>
        <v>0</v>
      </c>
      <c r="J165" s="97">
        <f t="shared" si="58"/>
        <v>0</v>
      </c>
      <c r="K165" s="97">
        <f t="shared" si="58"/>
        <v>0</v>
      </c>
      <c r="L165" s="98">
        <f t="shared" si="58"/>
        <v>0</v>
      </c>
      <c r="M165" s="99"/>
      <c r="N165" s="100"/>
      <c r="O165" s="97"/>
      <c r="P165" s="132"/>
      <c r="Q165" s="132"/>
    </row>
    <row r="166" spans="1:17" s="113" customFormat="1" ht="27" hidden="1">
      <c r="A166" s="302"/>
      <c r="B166" s="156" t="s">
        <v>42</v>
      </c>
      <c r="C166" s="130" t="s">
        <v>57</v>
      </c>
      <c r="D166" s="130" t="s">
        <v>86</v>
      </c>
      <c r="E166" s="54" t="s">
        <v>43</v>
      </c>
      <c r="F166" s="130"/>
      <c r="G166" s="136">
        <f t="shared" si="56"/>
        <v>0</v>
      </c>
      <c r="H166" s="146">
        <f t="shared" si="50"/>
        <v>0</v>
      </c>
      <c r="I166" s="147">
        <f t="shared" si="57"/>
        <v>0</v>
      </c>
      <c r="J166" s="97">
        <f>J167+J168</f>
        <v>0</v>
      </c>
      <c r="K166" s="97">
        <f>K167+K168</f>
        <v>0</v>
      </c>
      <c r="L166" s="98">
        <f>L167+L168</f>
        <v>0</v>
      </c>
      <c r="M166" s="99"/>
      <c r="N166" s="100"/>
      <c r="O166" s="97"/>
      <c r="P166" s="132"/>
      <c r="Q166" s="132"/>
    </row>
    <row r="167" spans="1:20" s="113" customFormat="1" ht="54.75" hidden="1">
      <c r="A167" s="302"/>
      <c r="B167" s="156" t="s">
        <v>219</v>
      </c>
      <c r="C167" s="54" t="s">
        <v>57</v>
      </c>
      <c r="D167" s="54" t="s">
        <v>86</v>
      </c>
      <c r="E167" s="54" t="s">
        <v>220</v>
      </c>
      <c r="F167" s="54" t="s">
        <v>172</v>
      </c>
      <c r="G167" s="253">
        <f t="shared" si="56"/>
        <v>0</v>
      </c>
      <c r="H167" s="146">
        <f t="shared" si="50"/>
        <v>0</v>
      </c>
      <c r="I167" s="254">
        <f t="shared" si="57"/>
        <v>0</v>
      </c>
      <c r="J167" s="101"/>
      <c r="K167" s="101"/>
      <c r="L167" s="102"/>
      <c r="M167" s="103"/>
      <c r="N167" s="104"/>
      <c r="O167" s="101"/>
      <c r="P167" s="255"/>
      <c r="Q167" s="132"/>
      <c r="T167" s="1"/>
    </row>
    <row r="168" spans="1:20" s="113" customFormat="1" ht="54.75" hidden="1">
      <c r="A168" s="302"/>
      <c r="B168" s="92" t="s">
        <v>221</v>
      </c>
      <c r="C168" s="54" t="s">
        <v>57</v>
      </c>
      <c r="D168" s="54" t="s">
        <v>86</v>
      </c>
      <c r="E168" s="54" t="s">
        <v>222</v>
      </c>
      <c r="F168" s="54" t="s">
        <v>31</v>
      </c>
      <c r="G168" s="136">
        <f t="shared" si="56"/>
        <v>0</v>
      </c>
      <c r="H168" s="146">
        <f t="shared" si="50"/>
        <v>0</v>
      </c>
      <c r="I168" s="147">
        <f t="shared" si="57"/>
        <v>0</v>
      </c>
      <c r="J168" s="101"/>
      <c r="K168" s="101"/>
      <c r="L168" s="102"/>
      <c r="M168" s="103"/>
      <c r="N168" s="104"/>
      <c r="O168" s="101"/>
      <c r="P168" s="255"/>
      <c r="Q168" s="132"/>
      <c r="T168" s="1"/>
    </row>
    <row r="169" spans="1:21" s="77" customFormat="1" ht="30.75">
      <c r="A169" s="302">
        <v>730</v>
      </c>
      <c r="B169" s="256" t="s">
        <v>223</v>
      </c>
      <c r="C169" s="257"/>
      <c r="D169" s="257"/>
      <c r="E169" s="73"/>
      <c r="F169" s="257"/>
      <c r="G169" s="74">
        <v>12.1</v>
      </c>
      <c r="H169" s="58">
        <f t="shared" si="50"/>
        <v>3.1500000000000004</v>
      </c>
      <c r="I169" s="74">
        <f aca="true" t="shared" si="59" ref="I169:Q173">I170</f>
        <v>12.1</v>
      </c>
      <c r="J169" s="258">
        <f t="shared" si="59"/>
        <v>0</v>
      </c>
      <c r="K169" s="258">
        <f t="shared" si="59"/>
        <v>0</v>
      </c>
      <c r="L169" s="259">
        <f t="shared" si="59"/>
        <v>-8.95</v>
      </c>
      <c r="M169" s="260">
        <f t="shared" si="59"/>
        <v>0</v>
      </c>
      <c r="N169" s="261">
        <f t="shared" si="59"/>
        <v>0</v>
      </c>
      <c r="O169" s="258">
        <f t="shared" si="59"/>
        <v>0</v>
      </c>
      <c r="P169" s="262">
        <f t="shared" si="59"/>
        <v>12.1</v>
      </c>
      <c r="Q169" s="262">
        <f t="shared" si="59"/>
        <v>12.1</v>
      </c>
      <c r="U169" s="77" t="s">
        <v>224</v>
      </c>
    </row>
    <row r="170" spans="1:17" s="77" customFormat="1" ht="13.5">
      <c r="A170" s="302"/>
      <c r="B170" s="52" t="s">
        <v>21</v>
      </c>
      <c r="C170" s="73" t="s">
        <v>22</v>
      </c>
      <c r="D170" s="73"/>
      <c r="E170" s="73"/>
      <c r="F170" s="73"/>
      <c r="G170" s="74">
        <v>12.1</v>
      </c>
      <c r="H170" s="58">
        <f t="shared" si="50"/>
        <v>3.1500000000000004</v>
      </c>
      <c r="I170" s="74">
        <f t="shared" si="59"/>
        <v>12.1</v>
      </c>
      <c r="J170" s="74">
        <f t="shared" si="59"/>
        <v>0</v>
      </c>
      <c r="K170" s="74">
        <f t="shared" si="59"/>
        <v>0</v>
      </c>
      <c r="L170" s="58">
        <f t="shared" si="59"/>
        <v>-8.95</v>
      </c>
      <c r="M170" s="75">
        <f t="shared" si="59"/>
        <v>0</v>
      </c>
      <c r="N170" s="76">
        <f t="shared" si="59"/>
        <v>0</v>
      </c>
      <c r="O170" s="74">
        <f t="shared" si="59"/>
        <v>0</v>
      </c>
      <c r="P170" s="55">
        <f t="shared" si="59"/>
        <v>12.1</v>
      </c>
      <c r="Q170" s="55">
        <f t="shared" si="59"/>
        <v>12.1</v>
      </c>
    </row>
    <row r="171" spans="1:17" s="77" customFormat="1" ht="69">
      <c r="A171" s="302"/>
      <c r="B171" s="72" t="s">
        <v>225</v>
      </c>
      <c r="C171" s="73" t="s">
        <v>22</v>
      </c>
      <c r="D171" s="73" t="s">
        <v>88</v>
      </c>
      <c r="E171" s="73"/>
      <c r="F171" s="73"/>
      <c r="G171" s="74">
        <v>12.1</v>
      </c>
      <c r="H171" s="58">
        <f t="shared" si="50"/>
        <v>3.1500000000000004</v>
      </c>
      <c r="I171" s="74">
        <f t="shared" si="59"/>
        <v>12.1</v>
      </c>
      <c r="J171" s="74">
        <f t="shared" si="59"/>
        <v>0</v>
      </c>
      <c r="K171" s="74">
        <f t="shared" si="59"/>
        <v>0</v>
      </c>
      <c r="L171" s="58">
        <f t="shared" si="59"/>
        <v>-8.95</v>
      </c>
      <c r="M171" s="75">
        <f t="shared" si="59"/>
        <v>0</v>
      </c>
      <c r="N171" s="76">
        <f t="shared" si="59"/>
        <v>0</v>
      </c>
      <c r="O171" s="74">
        <f t="shared" si="59"/>
        <v>0</v>
      </c>
      <c r="P171" s="55">
        <f t="shared" si="59"/>
        <v>12.1</v>
      </c>
      <c r="Q171" s="55">
        <f t="shared" si="59"/>
        <v>12.1</v>
      </c>
    </row>
    <row r="172" spans="1:17" s="113" customFormat="1" ht="96">
      <c r="A172" s="302"/>
      <c r="B172" s="127" t="s">
        <v>68</v>
      </c>
      <c r="C172" s="79" t="s">
        <v>22</v>
      </c>
      <c r="D172" s="79" t="s">
        <v>88</v>
      </c>
      <c r="E172" s="79" t="s">
        <v>33</v>
      </c>
      <c r="F172" s="79"/>
      <c r="G172" s="80">
        <v>12.1</v>
      </c>
      <c r="H172" s="82">
        <f t="shared" si="50"/>
        <v>3.1500000000000004</v>
      </c>
      <c r="I172" s="80">
        <f t="shared" si="59"/>
        <v>12.1</v>
      </c>
      <c r="J172" s="80">
        <f t="shared" si="59"/>
        <v>0</v>
      </c>
      <c r="K172" s="80">
        <f t="shared" si="59"/>
        <v>0</v>
      </c>
      <c r="L172" s="82">
        <f t="shared" si="59"/>
        <v>-8.95</v>
      </c>
      <c r="M172" s="83">
        <f t="shared" si="59"/>
        <v>0</v>
      </c>
      <c r="N172" s="84">
        <f t="shared" si="59"/>
        <v>0</v>
      </c>
      <c r="O172" s="80">
        <f t="shared" si="59"/>
        <v>0</v>
      </c>
      <c r="P172" s="81">
        <f t="shared" si="59"/>
        <v>12.1</v>
      </c>
      <c r="Q172" s="81">
        <f t="shared" si="59"/>
        <v>12.1</v>
      </c>
    </row>
    <row r="173" spans="1:17" s="113" customFormat="1" ht="54.75">
      <c r="A173" s="302"/>
      <c r="B173" s="127" t="s">
        <v>34</v>
      </c>
      <c r="C173" s="79" t="s">
        <v>22</v>
      </c>
      <c r="D173" s="79" t="s">
        <v>88</v>
      </c>
      <c r="E173" s="79" t="s">
        <v>35</v>
      </c>
      <c r="F173" s="79"/>
      <c r="G173" s="80">
        <v>12.1</v>
      </c>
      <c r="H173" s="82">
        <f t="shared" si="50"/>
        <v>3.1500000000000004</v>
      </c>
      <c r="I173" s="80">
        <f t="shared" si="59"/>
        <v>12.1</v>
      </c>
      <c r="J173" s="80">
        <f t="shared" si="59"/>
        <v>0</v>
      </c>
      <c r="K173" s="80">
        <f t="shared" si="59"/>
        <v>0</v>
      </c>
      <c r="L173" s="82">
        <f t="shared" si="59"/>
        <v>-8.95</v>
      </c>
      <c r="M173" s="83">
        <f t="shared" si="59"/>
        <v>0</v>
      </c>
      <c r="N173" s="84">
        <f t="shared" si="59"/>
        <v>0</v>
      </c>
      <c r="O173" s="80">
        <f t="shared" si="59"/>
        <v>0</v>
      </c>
      <c r="P173" s="81">
        <f t="shared" si="59"/>
        <v>12.1</v>
      </c>
      <c r="Q173" s="81">
        <f t="shared" si="59"/>
        <v>12.1</v>
      </c>
    </row>
    <row r="174" spans="1:17" s="113" customFormat="1" ht="54.75">
      <c r="A174" s="302"/>
      <c r="B174" s="127" t="s">
        <v>226</v>
      </c>
      <c r="C174" s="79" t="s">
        <v>22</v>
      </c>
      <c r="D174" s="79" t="s">
        <v>88</v>
      </c>
      <c r="E174" s="79" t="s">
        <v>37</v>
      </c>
      <c r="F174" s="79" t="s">
        <v>31</v>
      </c>
      <c r="G174" s="80">
        <v>12.1</v>
      </c>
      <c r="H174" s="82">
        <f t="shared" si="50"/>
        <v>3.1500000000000004</v>
      </c>
      <c r="I174" s="80">
        <v>12.1</v>
      </c>
      <c r="J174" s="87">
        <v>0</v>
      </c>
      <c r="K174" s="87">
        <v>0</v>
      </c>
      <c r="L174" s="88">
        <v>-8.95</v>
      </c>
      <c r="M174" s="89"/>
      <c r="N174" s="90"/>
      <c r="O174" s="87"/>
      <c r="P174" s="91">
        <v>12.1</v>
      </c>
      <c r="Q174" s="91">
        <v>12.1</v>
      </c>
    </row>
    <row r="175" spans="1:17" s="113" customFormat="1" ht="15">
      <c r="A175" s="51"/>
      <c r="B175" s="263" t="s">
        <v>227</v>
      </c>
      <c r="C175" s="79"/>
      <c r="D175" s="79"/>
      <c r="E175" s="79"/>
      <c r="F175" s="79"/>
      <c r="G175" s="264" t="e">
        <f>SUM(G11,G169)</f>
        <v>#REF!</v>
      </c>
      <c r="H175" s="265">
        <f>H169+H11</f>
        <v>53525.213840000004</v>
      </c>
      <c r="I175" s="266">
        <f aca="true" t="shared" si="60" ref="I175:Q175">SUM(I11,I169)</f>
        <v>38153.799999999996</v>
      </c>
      <c r="J175" s="267">
        <f t="shared" si="60"/>
        <v>3020.1076399999997</v>
      </c>
      <c r="K175" s="267">
        <f t="shared" si="60"/>
        <v>3123.78339</v>
      </c>
      <c r="L175" s="267">
        <f t="shared" si="60"/>
        <v>8596.772809999999</v>
      </c>
      <c r="M175" s="268">
        <f t="shared" si="60"/>
        <v>602.65</v>
      </c>
      <c r="N175" s="269">
        <f t="shared" si="60"/>
        <v>28.099999999999994</v>
      </c>
      <c r="O175" s="264">
        <f t="shared" si="60"/>
        <v>0</v>
      </c>
      <c r="P175" s="266">
        <f t="shared" si="60"/>
        <v>36350.3</v>
      </c>
      <c r="Q175" s="266">
        <f t="shared" si="60"/>
        <v>36941.5</v>
      </c>
    </row>
    <row r="176" spans="7:17" ht="12.75">
      <c r="G176" s="270"/>
      <c r="H176" s="271"/>
      <c r="I176" s="272"/>
      <c r="J176" s="273"/>
      <c r="K176" s="273"/>
      <c r="L176" s="274"/>
      <c r="M176" s="275"/>
      <c r="N176" s="273"/>
      <c r="O176" s="273"/>
      <c r="P176" s="276"/>
      <c r="Q176" s="276"/>
    </row>
    <row r="177" spans="7:17" ht="15.75" customHeight="1" hidden="1">
      <c r="G177" s="277"/>
      <c r="H177" s="278"/>
      <c r="I177" s="279"/>
      <c r="J177" s="280"/>
      <c r="K177" s="280"/>
      <c r="L177" s="281"/>
      <c r="M177" s="282"/>
      <c r="N177" s="280"/>
      <c r="O177" s="280"/>
      <c r="P177" s="279"/>
      <c r="Q177" s="279"/>
    </row>
    <row r="178" spans="2:17" ht="12.75" hidden="1">
      <c r="B178" s="2" t="s">
        <v>228</v>
      </c>
      <c r="G178" s="270"/>
      <c r="H178" s="271"/>
      <c r="I178" s="272"/>
      <c r="J178" s="273"/>
      <c r="K178" s="273"/>
      <c r="L178" s="274"/>
      <c r="M178" s="275"/>
      <c r="N178" s="273"/>
      <c r="O178" s="273"/>
      <c r="P178" s="276"/>
      <c r="Q178" s="276"/>
    </row>
    <row r="179" spans="2:17" ht="12.75" hidden="1">
      <c r="B179" s="2" t="s">
        <v>229</v>
      </c>
      <c r="G179" s="270">
        <f aca="true" t="shared" si="61" ref="G179:L179">G180+G181+G182</f>
        <v>35961.5</v>
      </c>
      <c r="H179" s="271">
        <f t="shared" si="61"/>
        <v>35961.5</v>
      </c>
      <c r="I179" s="272">
        <f t="shared" si="61"/>
        <v>35961.5</v>
      </c>
      <c r="J179" s="273">
        <f t="shared" si="61"/>
        <v>35961.5</v>
      </c>
      <c r="K179" s="273">
        <f t="shared" si="61"/>
        <v>35961.5</v>
      </c>
      <c r="L179" s="274">
        <f t="shared" si="61"/>
        <v>35961.5</v>
      </c>
      <c r="M179" s="275"/>
      <c r="N179" s="273"/>
      <c r="O179" s="273"/>
      <c r="P179" s="273">
        <f>P180+P181+P182</f>
        <v>32490.5</v>
      </c>
      <c r="Q179" s="273">
        <f>Q180+Q181+Q182</f>
        <v>33291.5</v>
      </c>
    </row>
    <row r="180" spans="2:17" ht="12.75" hidden="1">
      <c r="B180" s="2" t="s">
        <v>230</v>
      </c>
      <c r="G180" s="270">
        <v>28174</v>
      </c>
      <c r="H180" s="271">
        <v>28174</v>
      </c>
      <c r="I180" s="272">
        <v>28174</v>
      </c>
      <c r="J180" s="273">
        <v>28174</v>
      </c>
      <c r="K180" s="273">
        <v>28174</v>
      </c>
      <c r="L180" s="274">
        <v>28174</v>
      </c>
      <c r="M180" s="275"/>
      <c r="N180" s="273"/>
      <c r="O180" s="273"/>
      <c r="P180" s="276">
        <v>28703</v>
      </c>
      <c r="Q180" s="276">
        <v>29504</v>
      </c>
    </row>
    <row r="181" spans="2:17" ht="12.75" hidden="1">
      <c r="B181" s="2" t="s">
        <v>231</v>
      </c>
      <c r="G181" s="270">
        <v>3787.5</v>
      </c>
      <c r="H181" s="271">
        <v>3787.5</v>
      </c>
      <c r="I181" s="272">
        <v>3787.5</v>
      </c>
      <c r="J181" s="273">
        <v>3787.5</v>
      </c>
      <c r="K181" s="273">
        <v>3787.5</v>
      </c>
      <c r="L181" s="274">
        <v>3787.5</v>
      </c>
      <c r="M181" s="275"/>
      <c r="N181" s="273"/>
      <c r="O181" s="273"/>
      <c r="P181" s="276">
        <v>3787.5</v>
      </c>
      <c r="Q181" s="276">
        <v>3787.5</v>
      </c>
    </row>
    <row r="182" spans="2:17" ht="12.75" hidden="1">
      <c r="B182" s="2" t="s">
        <v>232</v>
      </c>
      <c r="G182" s="270">
        <v>4000</v>
      </c>
      <c r="H182" s="271">
        <v>4000</v>
      </c>
      <c r="I182" s="272">
        <v>4000</v>
      </c>
      <c r="J182" s="273">
        <v>4000</v>
      </c>
      <c r="K182" s="273">
        <v>4000</v>
      </c>
      <c r="L182" s="274">
        <v>4000</v>
      </c>
      <c r="M182" s="275"/>
      <c r="N182" s="273"/>
      <c r="O182" s="273"/>
      <c r="P182" s="276"/>
      <c r="Q182" s="276"/>
    </row>
    <row r="183" spans="2:17" ht="12.75" hidden="1">
      <c r="B183" s="2" t="s">
        <v>233</v>
      </c>
      <c r="G183" s="270" t="e">
        <f aca="true" t="shared" si="62" ref="G183:L183">G175-G179</f>
        <v>#REF!</v>
      </c>
      <c r="H183" s="271">
        <f t="shared" si="62"/>
        <v>17563.713840000004</v>
      </c>
      <c r="I183" s="272">
        <f t="shared" si="62"/>
        <v>2192.2999999999956</v>
      </c>
      <c r="J183" s="273">
        <f t="shared" si="62"/>
        <v>-32941.39236</v>
      </c>
      <c r="K183" s="273">
        <f t="shared" si="62"/>
        <v>-32837.71661</v>
      </c>
      <c r="L183" s="274">
        <f t="shared" si="62"/>
        <v>-27364.72719</v>
      </c>
      <c r="M183" s="275"/>
      <c r="N183" s="273"/>
      <c r="O183" s="273"/>
      <c r="P183" s="273">
        <f>P175-P179</f>
        <v>3859.800000000003</v>
      </c>
      <c r="Q183" s="273">
        <f>Q175-Q179</f>
        <v>3650</v>
      </c>
    </row>
    <row r="184" spans="9:10" ht="12.75" hidden="1">
      <c r="I184" s="283"/>
      <c r="J184" s="284"/>
    </row>
    <row r="185" spans="5:17" ht="12.75" hidden="1">
      <c r="E185" s="4" t="s">
        <v>234</v>
      </c>
      <c r="F185" s="4"/>
      <c r="G185" s="285">
        <v>32408.1</v>
      </c>
      <c r="H185" s="286">
        <f>H23+H24+H25+H30+H40+H54+H59+H63+H71+H127+H132+H150+H169+H14</f>
        <v>37563.085569999996</v>
      </c>
      <c r="I185" s="287">
        <f>I23+I24+I25+I30+I40+I54+I59+I63+I71+I127+I132+I150+I169+I14</f>
        <v>33166.1</v>
      </c>
      <c r="J185" s="287">
        <f>J23+J24+J25+J30+J40+J54+J59+J63+J71+J127+J132+J150+J169+J14</f>
        <v>1852.63834</v>
      </c>
      <c r="K185" s="288">
        <v>1750.80578</v>
      </c>
      <c r="L185" s="289">
        <v>1750.80578</v>
      </c>
      <c r="M185" s="290">
        <v>598.1</v>
      </c>
      <c r="N185" s="288"/>
      <c r="O185" s="288"/>
      <c r="P185" s="285">
        <f>P23+P24+P25+P30+P40+P54+P59+P63+P71+P127+P132+P150+P169+P14</f>
        <v>31760.200000000004</v>
      </c>
      <c r="Q185" s="285">
        <f>Q23+Q24+Q25+Q30+Q40+Q54+Q59+Q63+Q71+Q127+Q132+Q150+Q169+Q14</f>
        <v>32041.699999999997</v>
      </c>
    </row>
    <row r="186" spans="5:17" ht="12.75" hidden="1">
      <c r="E186" s="4" t="s">
        <v>235</v>
      </c>
      <c r="F186" s="4"/>
      <c r="G186" s="291" t="e">
        <f>G39+G85+G154+G159+G121</f>
        <v>#REF!</v>
      </c>
      <c r="H186" s="286">
        <f>4164.9+822.8</f>
        <v>4987.7</v>
      </c>
      <c r="I186" s="287">
        <f>4164.9+822.8</f>
        <v>4987.7</v>
      </c>
      <c r="J186" s="287">
        <f>4164.9+822.8</f>
        <v>4987.7</v>
      </c>
      <c r="K186" s="291" t="e">
        <f>#REF!+K101+K163+K171+K133</f>
        <v>#REF!</v>
      </c>
      <c r="L186" s="289" t="e">
        <f>#REF!+L101+L163+L171+L133</f>
        <v>#REF!</v>
      </c>
      <c r="M186" s="292" t="e">
        <f>#REF!+M101+M163+M171+M133</f>
        <v>#REF!</v>
      </c>
      <c r="N186" s="291" t="e">
        <f>#REF!+N101+N163+N171+N133</f>
        <v>#REF!</v>
      </c>
      <c r="O186" s="291" t="e">
        <f>#REF!+O101+O163+O171+O133</f>
        <v>#REF!</v>
      </c>
      <c r="P186" s="291">
        <v>4590.1</v>
      </c>
      <c r="Q186" s="291">
        <v>4899.8</v>
      </c>
    </row>
    <row r="187" spans="6:17" ht="12.75" hidden="1">
      <c r="F187" s="4"/>
      <c r="G187" s="293" t="e">
        <f aca="true" t="shared" si="63" ref="G187:Q187">G185+G186</f>
        <v>#REF!</v>
      </c>
      <c r="H187" s="294">
        <f t="shared" si="63"/>
        <v>42550.78556999999</v>
      </c>
      <c r="I187" s="295">
        <f t="shared" si="63"/>
        <v>38153.799999999996</v>
      </c>
      <c r="J187" s="295">
        <f t="shared" si="63"/>
        <v>6840.33834</v>
      </c>
      <c r="K187" s="293" t="e">
        <f t="shared" si="63"/>
        <v>#REF!</v>
      </c>
      <c r="L187" s="293" t="e">
        <f t="shared" si="63"/>
        <v>#REF!</v>
      </c>
      <c r="M187" s="296" t="e">
        <f t="shared" si="63"/>
        <v>#REF!</v>
      </c>
      <c r="N187" s="293" t="e">
        <f t="shared" si="63"/>
        <v>#REF!</v>
      </c>
      <c r="O187" s="293" t="e">
        <f t="shared" si="63"/>
        <v>#REF!</v>
      </c>
      <c r="P187" s="293">
        <f t="shared" si="63"/>
        <v>36350.3</v>
      </c>
      <c r="Q187" s="293">
        <f t="shared" si="63"/>
        <v>36941.5</v>
      </c>
    </row>
    <row r="188" spans="7:17" ht="12.75" hidden="1">
      <c r="G188" s="297"/>
      <c r="H188" s="286"/>
      <c r="I188" s="283"/>
      <c r="J188" s="298"/>
      <c r="K188" s="291"/>
      <c r="L188" s="289"/>
      <c r="M188" s="292"/>
      <c r="N188" s="291"/>
      <c r="O188" s="291"/>
      <c r="P188" s="291"/>
      <c r="Q188" s="291"/>
    </row>
    <row r="189" spans="9:14" ht="24" customHeight="1">
      <c r="I189"/>
      <c r="J189" s="283" t="s">
        <v>236</v>
      </c>
      <c r="L189" s="287">
        <f>(L12-L39)+L52+L58+L70+L131+L151+L169</f>
        <v>1008.9324999999997</v>
      </c>
      <c r="M189" s="299">
        <f>(M12-M39)+M52+M58+M70+M131+M151+M169</f>
        <v>221.04425</v>
      </c>
      <c r="N189" s="8">
        <f>-199.9-62.26517-0.00574</f>
        <v>-262.17091</v>
      </c>
    </row>
    <row r="190" spans="9:13" ht="12.75">
      <c r="I190"/>
      <c r="J190" s="283" t="s">
        <v>237</v>
      </c>
      <c r="L190" s="287">
        <f>L39+L51+L85+L121+L158+L162</f>
        <v>7587.84031</v>
      </c>
      <c r="M190" s="299">
        <f>602.65-273.62564</f>
        <v>329.02436</v>
      </c>
    </row>
    <row r="191" spans="9:13" ht="12.75">
      <c r="I191"/>
      <c r="J191" s="300" t="s">
        <v>238</v>
      </c>
      <c r="L191" s="287">
        <f>L189+L190</f>
        <v>8596.772809999999</v>
      </c>
      <c r="M191" s="299">
        <f>M189+M190</f>
        <v>550.06861</v>
      </c>
    </row>
  </sheetData>
  <sheetProtection selectLockedCells="1" selectUnlockedCells="1"/>
  <autoFilter ref="A9:Q175"/>
  <mergeCells count="6">
    <mergeCell ref="A7:Q7"/>
    <mergeCell ref="A11:A168"/>
    <mergeCell ref="A169:A174"/>
    <mergeCell ref="P1:Q1"/>
    <mergeCell ref="H2:Q2"/>
    <mergeCell ref="H3:Q3"/>
  </mergeCells>
  <printOptions/>
  <pageMargins left="0.5513888888888889" right="0.19652777777777777" top="0.45208333333333334" bottom="0.31527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2021-12-24T06:58:29Z</dcterms:modified>
  <cp:category/>
  <cp:version/>
  <cp:contentType/>
  <cp:contentStatus/>
</cp:coreProperties>
</file>